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755" tabRatio="968" activeTab="1"/>
  </bookViews>
  <sheets>
    <sheet name="b)" sheetId="11" r:id="rId1"/>
    <sheet name="c)" sheetId="13" r:id="rId2"/>
    <sheet name="babase" sheetId="6" state="hidden" r:id="rId3"/>
  </sheets>
  <externalReferences>
    <externalReference r:id="rId4"/>
  </externalReferences>
  <definedNames>
    <definedName name="_xlnm._FilterDatabase" localSheetId="0" hidden="1">'b)'!$A$34:$H$62</definedName>
    <definedName name="_xlnm._FilterDatabase" localSheetId="2" hidden="1">babase!$A$24:$H$52</definedName>
    <definedName name="_xlnm.Print_Area" localSheetId="0">'b)'!$C$3:$J$69</definedName>
    <definedName name="_xlnm.Print_Area" localSheetId="1">'c)'!$C$1:$J$65</definedName>
    <definedName name="_xlnm.Print_Titles" localSheetId="1">'c)'!$1:$9</definedName>
  </definedNames>
  <calcPr calcId="145621"/>
</workbook>
</file>

<file path=xl/calcChain.xml><?xml version="1.0" encoding="utf-8"?>
<calcChain xmlns="http://schemas.openxmlformats.org/spreadsheetml/2006/main">
  <c r="H21" i="13" l="1"/>
  <c r="H35" i="13"/>
  <c r="F48" i="13"/>
  <c r="F35" i="13"/>
  <c r="F30" i="13"/>
  <c r="F26" i="13"/>
  <c r="F44" i="13" l="1"/>
  <c r="F43" i="13"/>
  <c r="F45" i="13"/>
  <c r="F41" i="13"/>
  <c r="F33" i="13"/>
  <c r="F25" i="13"/>
  <c r="F22" i="13"/>
  <c r="F21" i="13"/>
  <c r="F17" i="13"/>
  <c r="F16" i="13"/>
  <c r="F15" i="13"/>
  <c r="F14" i="13"/>
  <c r="F13" i="13"/>
  <c r="F12" i="13"/>
  <c r="F11" i="13"/>
  <c r="F63" i="13" l="1"/>
  <c r="E52" i="13"/>
  <c r="H22" i="13" l="1"/>
  <c r="I22" i="13" s="1"/>
  <c r="I21" i="13"/>
  <c r="I45" i="13"/>
  <c r="I43" i="13"/>
  <c r="J43" i="13" s="1"/>
  <c r="I41" i="13"/>
  <c r="I38" i="13"/>
  <c r="I37" i="13"/>
  <c r="J37" i="13" s="1"/>
  <c r="I36" i="13"/>
  <c r="J36" i="13" s="1"/>
  <c r="I33" i="13"/>
  <c r="I29" i="13"/>
  <c r="I28" i="13"/>
  <c r="I27" i="13"/>
  <c r="J27" i="13" s="1"/>
  <c r="I26" i="13"/>
  <c r="I25" i="13"/>
  <c r="I20" i="13"/>
  <c r="J20" i="13" s="1"/>
  <c r="I19" i="13"/>
  <c r="I35" i="13"/>
  <c r="H23" i="13"/>
  <c r="I23" i="13" s="1"/>
  <c r="J23" i="13" s="1"/>
  <c r="H44" i="13"/>
  <c r="H40" i="13" s="1"/>
  <c r="I44" i="13" l="1"/>
  <c r="H18" i="13"/>
  <c r="H31" i="13"/>
  <c r="H13" i="13"/>
  <c r="I13" i="13" s="1"/>
  <c r="H15" i="13" l="1"/>
  <c r="I15" i="13" s="1"/>
  <c r="H12" i="13"/>
  <c r="I12" i="13" s="1"/>
  <c r="H14" i="13"/>
  <c r="I14" i="13" s="1"/>
  <c r="H16" i="13"/>
  <c r="I16" i="13" s="1"/>
  <c r="H17" i="13"/>
  <c r="I17" i="13" s="1"/>
  <c r="H11" i="13" l="1"/>
  <c r="L44" i="13"/>
  <c r="G48" i="13" s="1"/>
  <c r="J48" i="13" s="1"/>
  <c r="F47" i="13"/>
  <c r="G45" i="13"/>
  <c r="J45" i="13" s="1"/>
  <c r="G44" i="13"/>
  <c r="J44" i="13" s="1"/>
  <c r="F42" i="13"/>
  <c r="G42" i="13" s="1"/>
  <c r="J42" i="13" s="1"/>
  <c r="F39" i="13"/>
  <c r="G39" i="13" s="1"/>
  <c r="F38" i="13"/>
  <c r="G38" i="13" s="1"/>
  <c r="J38" i="13" s="1"/>
  <c r="G35" i="13"/>
  <c r="J35" i="13" s="1"/>
  <c r="F34" i="13"/>
  <c r="G34" i="13" s="1"/>
  <c r="J34" i="13" s="1"/>
  <c r="G33" i="13"/>
  <c r="J33" i="13" s="1"/>
  <c r="F32" i="13"/>
  <c r="G32" i="13" s="1"/>
  <c r="J32" i="13" s="1"/>
  <c r="G30" i="13"/>
  <c r="F29" i="13"/>
  <c r="G29" i="13" s="1"/>
  <c r="J29" i="13" s="1"/>
  <c r="F28" i="13"/>
  <c r="G28" i="13" s="1"/>
  <c r="J28" i="13" s="1"/>
  <c r="G26" i="13"/>
  <c r="J26" i="13" s="1"/>
  <c r="G25" i="13"/>
  <c r="J25" i="13" s="1"/>
  <c r="F24" i="13"/>
  <c r="G24" i="13" s="1"/>
  <c r="J24" i="13" s="1"/>
  <c r="G22" i="13"/>
  <c r="J22" i="13" s="1"/>
  <c r="G21" i="13"/>
  <c r="J21" i="13" s="1"/>
  <c r="F19" i="13"/>
  <c r="G19" i="13" s="1"/>
  <c r="J19" i="13" s="1"/>
  <c r="G17" i="13"/>
  <c r="J17" i="13" s="1"/>
  <c r="G16" i="13"/>
  <c r="J16" i="13" s="1"/>
  <c r="G15" i="13"/>
  <c r="J15" i="13" s="1"/>
  <c r="G14" i="13"/>
  <c r="J14" i="13" s="1"/>
  <c r="G13" i="13"/>
  <c r="J13" i="13" s="1"/>
  <c r="G12" i="13"/>
  <c r="J12" i="13" s="1"/>
  <c r="F40" i="13" l="1"/>
  <c r="G41" i="13"/>
  <c r="J41" i="13" s="1"/>
  <c r="J40" i="13" s="1"/>
  <c r="J31" i="13"/>
  <c r="F46" i="13"/>
  <c r="G47" i="13"/>
  <c r="J47" i="13" s="1"/>
  <c r="J46" i="13" s="1"/>
  <c r="H10" i="13"/>
  <c r="I11" i="13"/>
  <c r="F18" i="13"/>
  <c r="F10" i="13"/>
  <c r="F31" i="13"/>
  <c r="L46" i="13"/>
  <c r="E22" i="11"/>
  <c r="F52" i="13" l="1"/>
  <c r="E61" i="13" s="1"/>
  <c r="F61" i="13" s="1"/>
  <c r="H52" i="13"/>
  <c r="G62" i="11" l="1"/>
  <c r="F62" i="11"/>
  <c r="E62" i="11"/>
  <c r="G61" i="11"/>
  <c r="F61" i="11"/>
  <c r="E61" i="11"/>
  <c r="G60" i="11"/>
  <c r="F60" i="11"/>
  <c r="E60" i="11"/>
  <c r="G59" i="11"/>
  <c r="F59" i="11"/>
  <c r="E59" i="11"/>
  <c r="G58" i="11"/>
  <c r="F58" i="11"/>
  <c r="E58" i="11"/>
  <c r="G57" i="11"/>
  <c r="F57" i="11"/>
  <c r="E57" i="11"/>
  <c r="G56" i="11"/>
  <c r="F56" i="11"/>
  <c r="E56" i="11"/>
  <c r="G55" i="11"/>
  <c r="F55" i="11"/>
  <c r="E55" i="11"/>
  <c r="G54" i="11"/>
  <c r="F54" i="11"/>
  <c r="E54" i="11"/>
  <c r="G53" i="11"/>
  <c r="F53" i="11"/>
  <c r="E53" i="11"/>
  <c r="G52" i="11"/>
  <c r="F52" i="11"/>
  <c r="E52" i="11"/>
  <c r="G51" i="11"/>
  <c r="F51" i="11"/>
  <c r="E51" i="11"/>
  <c r="G50" i="11"/>
  <c r="F50" i="11"/>
  <c r="E50" i="11"/>
  <c r="G49" i="11"/>
  <c r="F49" i="11"/>
  <c r="E49" i="11"/>
  <c r="G48" i="11"/>
  <c r="F48" i="11"/>
  <c r="E48" i="11"/>
  <c r="G47" i="11"/>
  <c r="F47" i="11"/>
  <c r="E47" i="11"/>
  <c r="G46" i="11"/>
  <c r="F46" i="11"/>
  <c r="E46" i="11"/>
  <c r="G45" i="11"/>
  <c r="F45" i="11"/>
  <c r="E45" i="11"/>
  <c r="G44" i="11"/>
  <c r="F44" i="11"/>
  <c r="E44" i="11"/>
  <c r="G43" i="11"/>
  <c r="F43" i="11"/>
  <c r="E43" i="11"/>
  <c r="G42" i="11"/>
  <c r="F42" i="11"/>
  <c r="E42" i="11"/>
  <c r="G41" i="11"/>
  <c r="F41" i="11"/>
  <c r="E41" i="11"/>
  <c r="F40" i="11"/>
  <c r="E40" i="11"/>
  <c r="G39" i="11"/>
  <c r="F39" i="11"/>
  <c r="E39" i="11"/>
  <c r="G38" i="11"/>
  <c r="F38" i="11"/>
  <c r="E38" i="11"/>
  <c r="G37" i="11"/>
  <c r="F37" i="11"/>
  <c r="E37" i="11"/>
  <c r="F36" i="11"/>
  <c r="E36" i="11"/>
  <c r="G35" i="11"/>
  <c r="F35" i="11"/>
  <c r="E35" i="11"/>
  <c r="I40" i="13" l="1"/>
  <c r="I18" i="13"/>
  <c r="I31" i="13"/>
  <c r="G11" i="13"/>
  <c r="J11" i="13" s="1"/>
  <c r="J10" i="13" s="1"/>
  <c r="G46" i="13"/>
  <c r="G40" i="13"/>
  <c r="G31" i="13"/>
  <c r="I10" i="13"/>
  <c r="G10" i="13"/>
  <c r="G18" i="13"/>
  <c r="F64" i="13"/>
  <c r="H46" i="11"/>
  <c r="H62" i="11"/>
  <c r="H42" i="11"/>
  <c r="H56" i="11"/>
  <c r="H40" i="11"/>
  <c r="H58" i="11"/>
  <c r="H45" i="11"/>
  <c r="H53" i="11"/>
  <c r="H39" i="11"/>
  <c r="H44" i="11"/>
  <c r="H52" i="11"/>
  <c r="H37" i="11"/>
  <c r="H50" i="11"/>
  <c r="H60" i="11"/>
  <c r="H48" i="11"/>
  <c r="H35" i="11"/>
  <c r="H38" i="11"/>
  <c r="H51" i="11"/>
  <c r="H61" i="11"/>
  <c r="H54" i="11"/>
  <c r="H49" i="11"/>
  <c r="H43" i="11"/>
  <c r="H55" i="11"/>
  <c r="H59" i="11"/>
  <c r="H41" i="11"/>
  <c r="H57" i="11"/>
  <c r="H36" i="11"/>
  <c r="H47" i="11"/>
  <c r="J18" i="13" l="1"/>
  <c r="J52" i="13" s="1"/>
  <c r="G52" i="13"/>
  <c r="I52" i="13"/>
  <c r="G118" i="6" l="1"/>
  <c r="F118" i="6"/>
  <c r="E110" i="6"/>
  <c r="E118" i="6" s="1"/>
  <c r="H110" i="6" l="1"/>
  <c r="H111" i="6"/>
  <c r="H112" i="6"/>
  <c r="H113" i="6"/>
  <c r="H116" i="6"/>
  <c r="H114" i="6"/>
  <c r="H115" i="6"/>
  <c r="H117" i="6"/>
  <c r="H118" i="6" l="1"/>
  <c r="H61" i="6" l="1"/>
  <c r="E60" i="6" l="1"/>
  <c r="E68" i="6" s="1"/>
  <c r="I67" i="6" s="1"/>
  <c r="G52" i="6"/>
  <c r="G51" i="6"/>
  <c r="H65" i="6" s="1"/>
  <c r="G50" i="6"/>
  <c r="G49" i="6"/>
  <c r="G48" i="6"/>
  <c r="H64" i="6" s="1"/>
  <c r="G47" i="6"/>
  <c r="G46" i="6"/>
  <c r="G45" i="6"/>
  <c r="G44" i="6"/>
  <c r="H63" i="6" s="1"/>
  <c r="G43" i="6"/>
  <c r="G42" i="6"/>
  <c r="G41" i="6"/>
  <c r="G40" i="6"/>
  <c r="G39" i="6"/>
  <c r="G38" i="6"/>
  <c r="G37" i="6"/>
  <c r="H62" i="6" s="1"/>
  <c r="G36" i="6"/>
  <c r="G35" i="6"/>
  <c r="G34" i="6"/>
  <c r="G33" i="6"/>
  <c r="G32" i="6"/>
  <c r="G31" i="6"/>
  <c r="G29" i="6"/>
  <c r="G28" i="6"/>
  <c r="G27" i="6"/>
  <c r="F52" i="6"/>
  <c r="F51" i="6"/>
  <c r="F50" i="6"/>
  <c r="F49" i="6"/>
  <c r="F48" i="6"/>
  <c r="G64" i="6" s="1"/>
  <c r="F47" i="6"/>
  <c r="F46" i="6"/>
  <c r="F45" i="6"/>
  <c r="F44" i="6"/>
  <c r="G63" i="6" s="1"/>
  <c r="F43" i="6"/>
  <c r="F42" i="6"/>
  <c r="F41" i="6"/>
  <c r="F40" i="6"/>
  <c r="F39" i="6"/>
  <c r="F38" i="6"/>
  <c r="F37" i="6"/>
  <c r="G62" i="6" s="1"/>
  <c r="F36" i="6"/>
  <c r="F35" i="6"/>
  <c r="F34" i="6"/>
  <c r="F33" i="6"/>
  <c r="F32" i="6"/>
  <c r="F31" i="6"/>
  <c r="F30" i="6"/>
  <c r="G61" i="6" s="1"/>
  <c r="F29" i="6"/>
  <c r="F28" i="6"/>
  <c r="F27" i="6"/>
  <c r="F26" i="6"/>
  <c r="G60" i="6" s="1"/>
  <c r="F25" i="6"/>
  <c r="E52" i="6"/>
  <c r="E51" i="6"/>
  <c r="F65" i="6" s="1"/>
  <c r="E50" i="6"/>
  <c r="E49" i="6"/>
  <c r="E48" i="6"/>
  <c r="F64" i="6" s="1"/>
  <c r="E47" i="6"/>
  <c r="E46" i="6"/>
  <c r="E45" i="6"/>
  <c r="E44" i="6"/>
  <c r="F63" i="6" s="1"/>
  <c r="E43" i="6"/>
  <c r="E42" i="6"/>
  <c r="E41" i="6"/>
  <c r="E40" i="6"/>
  <c r="E39" i="6"/>
  <c r="E38" i="6"/>
  <c r="E37" i="6"/>
  <c r="F62" i="6" s="1"/>
  <c r="E36" i="6"/>
  <c r="E35" i="6"/>
  <c r="E34" i="6"/>
  <c r="E33" i="6"/>
  <c r="E32" i="6"/>
  <c r="E31" i="6"/>
  <c r="E30" i="6"/>
  <c r="F61" i="6" s="1"/>
  <c r="E29" i="6"/>
  <c r="E28" i="6"/>
  <c r="E27" i="6"/>
  <c r="E26" i="6"/>
  <c r="F60" i="6" s="1"/>
  <c r="E25" i="6"/>
  <c r="K61" i="6"/>
  <c r="G25" i="6"/>
  <c r="F68" i="6" l="1"/>
  <c r="J63" i="6" s="1"/>
  <c r="G68" i="6"/>
  <c r="E74" i="6" s="1"/>
  <c r="E75" i="6" s="1"/>
  <c r="H68" i="6"/>
  <c r="I61" i="6"/>
  <c r="I66" i="6"/>
  <c r="I65" i="6"/>
  <c r="I60" i="6"/>
  <c r="I62" i="6"/>
  <c r="I63" i="6"/>
  <c r="I64" i="6"/>
  <c r="J64" i="6" l="1"/>
  <c r="I68" i="6"/>
  <c r="J61" i="6"/>
  <c r="J67" i="6"/>
  <c r="J66" i="6"/>
  <c r="J65" i="6"/>
  <c r="J60" i="6"/>
  <c r="J62" i="6"/>
  <c r="J68" i="6" l="1"/>
  <c r="H52" i="6" l="1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</calcChain>
</file>

<file path=xl/sharedStrings.xml><?xml version="1.0" encoding="utf-8"?>
<sst xmlns="http://schemas.openxmlformats.org/spreadsheetml/2006/main" count="204" uniqueCount="128">
  <si>
    <t>Descripción</t>
  </si>
  <si>
    <t>OG</t>
  </si>
  <si>
    <t>Cod</t>
  </si>
  <si>
    <t>Total</t>
  </si>
  <si>
    <t>% de ejecución 2022</t>
  </si>
  <si>
    <t>Pendiente de pago</t>
  </si>
  <si>
    <t>Presupuesto vigente 2022 GS</t>
  </si>
  <si>
    <t>Servicios  Personales</t>
  </si>
  <si>
    <t>Servicios NO Personales</t>
  </si>
  <si>
    <t>Bienes de consumo e insumos</t>
  </si>
  <si>
    <t>Inversión Física</t>
  </si>
  <si>
    <t>Transferencias corrientes al sector privado</t>
  </si>
  <si>
    <t>Otros gastos</t>
  </si>
  <si>
    <t>Descripción del grupo de gasto</t>
  </si>
  <si>
    <t>Totales</t>
  </si>
  <si>
    <t>Etiquetas de fila</t>
  </si>
  <si>
    <t>Suma de SALDO</t>
  </si>
  <si>
    <r>
      <rPr>
        <b/>
        <sz val="16"/>
        <color theme="1"/>
        <rFont val="Calibri"/>
        <family val="2"/>
        <scheme val="minor"/>
      </rPr>
      <t>Cuadro 1</t>
    </r>
    <r>
      <rPr>
        <sz val="16"/>
        <color theme="1"/>
        <rFont val="Calibri"/>
        <family val="2"/>
        <scheme val="minor"/>
      </rPr>
      <t>: Ejecución presupuestaria vigente y obligada por grandes grupos de objeto de gasto. Año 2022</t>
    </r>
  </si>
  <si>
    <t xml:space="preserve">Ejecutado </t>
  </si>
  <si>
    <t>Comprometido</t>
  </si>
  <si>
    <t>Prestamo uss</t>
  </si>
  <si>
    <t>Porcentaje de ejecución</t>
  </si>
  <si>
    <t>% de ejecución sobre el prestamo</t>
  </si>
  <si>
    <t>PGN</t>
  </si>
  <si>
    <t>Recursos no asignados</t>
  </si>
  <si>
    <t xml:space="preserve">Imprevistos </t>
  </si>
  <si>
    <t>% de ejecución sobre el PGN</t>
  </si>
  <si>
    <t>Plan de Ejecución del Presupuesto(*)</t>
  </si>
  <si>
    <t>Ejecutado(**)</t>
  </si>
  <si>
    <t>(*) Plan de Ejecución Plurianual 60 meses.</t>
  </si>
  <si>
    <t>(**) Presupuesto ejecutado al 09112022.</t>
  </si>
  <si>
    <t>Ejecutado 2022</t>
  </si>
  <si>
    <t>(***)</t>
  </si>
  <si>
    <t>Año</t>
  </si>
  <si>
    <t>Pago de impuestos, tasas, gastos judiciales y
otros</t>
  </si>
  <si>
    <t>Adquisición de activos intangibles</t>
  </si>
  <si>
    <t>Adquisiciones de maquinarias, equipos y herramientas en general</t>
  </si>
  <si>
    <t>Adquisiciones de equipos de oficina y computacion</t>
  </si>
  <si>
    <t>Textiles y vestuarios</t>
  </si>
  <si>
    <t>Productos de papel, cartón e impresos</t>
  </si>
  <si>
    <t>Bienes de consumo de oficinas e insumos</t>
  </si>
  <si>
    <t>Productos e instrum. químicos y medicinales</t>
  </si>
  <si>
    <t>Combustibles y lubricantes</t>
  </si>
  <si>
    <t>Otros bienes de consumo</t>
  </si>
  <si>
    <t>Servicios básicos</t>
  </si>
  <si>
    <t>Transporte y almacenaje</t>
  </si>
  <si>
    <t>Pasajes y viáticos</t>
  </si>
  <si>
    <t>Gastos por servicios de aseo, mantenimiento
y reparaciones</t>
  </si>
  <si>
    <t>Alquileres y derechos</t>
  </si>
  <si>
    <t>Servicios técnicos y profesionales</t>
  </si>
  <si>
    <t>Remuneraciones temporales</t>
  </si>
  <si>
    <t>Asignaciones complementarias</t>
  </si>
  <si>
    <t>Personal contratado</t>
  </si>
  <si>
    <t>Transferencias (UNFPA y BANCARD)</t>
  </si>
  <si>
    <t>Transferencias corrientes al sector
privado (Bancard)</t>
  </si>
  <si>
    <t>Transferencias corrientes al sector (Unfpa)
externo</t>
  </si>
  <si>
    <t>2. Resumen de ejecución presupuestaria por grupos de Objeto de Gasto.</t>
  </si>
  <si>
    <t>Monto USS</t>
  </si>
  <si>
    <t>Cuadro 1. Proyección Presupuestaria  del Plan de Ejecución Plurianual</t>
  </si>
  <si>
    <t>Monto uss</t>
  </si>
  <si>
    <t>1/ Plan de Ejecución Plurianual 60 meses.</t>
  </si>
  <si>
    <t>-</t>
  </si>
  <si>
    <t>3/ Monto reservado en el Programa para imprevistos.</t>
  </si>
  <si>
    <r>
      <t>Imprevistos</t>
    </r>
    <r>
      <rPr>
        <vertAlign val="superscript"/>
        <sz val="12"/>
        <color theme="1"/>
        <rFont val="Calibri"/>
        <family val="2"/>
        <scheme val="minor"/>
      </rPr>
      <t>3/</t>
    </r>
  </si>
  <si>
    <r>
      <t>Recursos no asignados</t>
    </r>
    <r>
      <rPr>
        <vertAlign val="superscript"/>
        <sz val="12"/>
        <color theme="1"/>
        <rFont val="Calibri"/>
        <family val="2"/>
        <scheme val="minor"/>
      </rPr>
      <t>4/</t>
    </r>
  </si>
  <si>
    <t>Restante</t>
  </si>
  <si>
    <t>Porcentaje</t>
  </si>
  <si>
    <t>Estado de Ejecución</t>
  </si>
  <si>
    <t>USS</t>
  </si>
  <si>
    <t>Descripción del objeto  de gasto</t>
  </si>
  <si>
    <t>Remuneración Extraordinaria</t>
  </si>
  <si>
    <t>Remuneración Adicional</t>
  </si>
  <si>
    <t>Gractificaciones por servicios especiales</t>
  </si>
  <si>
    <t>Contratación de personal técnico</t>
  </si>
  <si>
    <t>Jornales</t>
  </si>
  <si>
    <t>Honorarios profesionales</t>
  </si>
  <si>
    <t>Contratación de personal docente e instructores</t>
  </si>
  <si>
    <t>Viáticos y Movilidad</t>
  </si>
  <si>
    <t>Pasajes y viáticos varios</t>
  </si>
  <si>
    <t>Alquiler de edificios y locales</t>
  </si>
  <si>
    <t>Derechos de bienes intangibles</t>
  </si>
  <si>
    <t>Imprenta, publicaciones y reproducciones</t>
  </si>
  <si>
    <t>Publicidad y propaganda</t>
  </si>
  <si>
    <t>Consultorías, asesorías e investigaciones</t>
  </si>
  <si>
    <t>Servicios de Comunicaciones</t>
  </si>
  <si>
    <t>Maquinarias y equipos industriales</t>
  </si>
  <si>
    <t>Papel de escritorio y cartón</t>
  </si>
  <si>
    <t>Productos de papel y cartón</t>
  </si>
  <si>
    <t>Elementos de limpieza</t>
  </si>
  <si>
    <t>Utiles de escritorio, oficina y enseres</t>
  </si>
  <si>
    <t>Combustibles</t>
  </si>
  <si>
    <t>Artículos de plástico</t>
  </si>
  <si>
    <t>Equipos de vomunicaciones y señalamientos</t>
  </si>
  <si>
    <t>Adquisición de equipos de computación</t>
  </si>
  <si>
    <t>Activos intangibles</t>
  </si>
  <si>
    <t>1er pago directo Unfpa</t>
  </si>
  <si>
    <t>2do pago directo unfpa</t>
  </si>
  <si>
    <t>Total transferido a unfpa</t>
  </si>
  <si>
    <t>pendiente de transferir</t>
  </si>
  <si>
    <t>4/ Saldo con respecto al monto inicial, derivado de ajustes en la estrategia  operativa y de procesamiento de datos.</t>
  </si>
  <si>
    <t>UNFPA</t>
  </si>
  <si>
    <t>Ejecutado (a)</t>
  </si>
  <si>
    <t>Transporte</t>
  </si>
  <si>
    <t>Mantenimiento y Reparaciones Menores de Edificios y Locales</t>
  </si>
  <si>
    <t>Prismas y Gastos de seguro</t>
  </si>
  <si>
    <t>Utiles y Materiales Electricos</t>
  </si>
  <si>
    <t>Utiles y Materiales Medicos Quirurgicos y Laboratorios</t>
  </si>
  <si>
    <t>Adquisición de Muebles y Enseres</t>
  </si>
  <si>
    <t>Comprometido (b)</t>
  </si>
  <si>
    <t xml:space="preserve">% </t>
  </si>
  <si>
    <t>%</t>
  </si>
  <si>
    <t>a+b</t>
  </si>
  <si>
    <r>
      <t>Plan de Ejecución del Programa</t>
    </r>
    <r>
      <rPr>
        <sz val="12"/>
        <color theme="1"/>
        <rFont val="Calibri"/>
        <family val="2"/>
        <scheme val="minor"/>
      </rPr>
      <t xml:space="preserve"> 1</t>
    </r>
  </si>
  <si>
    <t>INSTITUTO NACIONAL DE ESTADISTICA</t>
  </si>
  <si>
    <t>CONTRATO DE PRESTAMO N°5224/OC-PR</t>
  </si>
  <si>
    <t>PROGRAMA DE FORTALECIMIENTO DEL SISTEMA ESTADISTICO NACIONAL</t>
  </si>
  <si>
    <t>PROYECCION PLURIANUAL AÑO 2021-2025</t>
  </si>
  <si>
    <t>Otras transferencias corrientes (Censistas y Supervisores)</t>
  </si>
  <si>
    <t>Transferencias corrientes a entidades  (UNFPA)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</si>
  <si>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Plan de Ejecución Plurianual al 18/11/2022.</t>
    </r>
  </si>
  <si>
    <t>FF-20</t>
  </si>
  <si>
    <t>EJECUTADO Y COMPROMETIDO AL 23/11/2022</t>
  </si>
  <si>
    <t>&lt;</t>
  </si>
  <si>
    <t>2/ Presupuesto Ejecutado al 23/11/2022.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</si>
  <si>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Plan de Ejecución Plurianual al 23/11/2022 . Reporte de ejecución PGN.</t>
    </r>
  </si>
  <si>
    <t>NHCD N° 4641 – RESOLUCIÓN N° 3892/2022</t>
  </si>
  <si>
    <t xml:space="preserve">b) </t>
  </si>
  <si>
    <t xml:space="preserve">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</si>
</sst>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-* #,##0.00\ _€_-;\-* #,##0.00\ _€_-;_-* &quot;-&quot;??\ _€_-;_-@_-"/>
    <numFmt numFmtId="167" formatCode="_-* #,##0.00\ _$_-;\-* #,##0.00\ _$_-;_-* &quot;-&quot;??\ _$_-;_-@_-"/>
    <numFmt numFmtId="168" formatCode="[$USD]\ #,##0.00"/>
    <numFmt numFmtId="169" formatCode="0.0%"/>
    <numFmt numFmtId="170" formatCode="_ * #,##0.0_ ;_ * \-#,##0.0_ ;_ * &quot;-&quot;_ ;_ @_ "/>
    <numFmt numFmtId="171" formatCode="#,##0_ ;\-#,##0\ "/>
    <numFmt numFmtId="172" formatCode="_(* #,##0_);_(* \(#,##0\);_(* &quot;-&quot;??_);_(@_)"/>
    <numFmt numFmtId="173" formatCode="_ * #,##0.00_ ;_ * \-#,##0.00_ ;_ * &quot;-&quot;_ ;_ @_ "/>
    <numFmt numFmtId="174" formatCode="_ * #,##0.000_ ;_ * \-#,##0.000_ ;_ * &quot;-&quot;_ ;_ @_ "/>
    <numFmt numFmtId="175" formatCode="_ * #,##0.0000_ ;_ * \-#,##0.0000_ ;_ * &quot;-&quot;_ ;_ @_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5">
    <xf numFmtId="0" fontId="0" fillId="0" borderId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168" fontId="2" fillId="0" borderId="0"/>
    <xf numFmtId="164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168" fontId="3" fillId="0" borderId="0"/>
    <xf numFmtId="168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/>
    <xf numFmtId="41" fontId="0" fillId="0" borderId="0" xfId="1" applyFont="1"/>
    <xf numFmtId="0" fontId="0" fillId="0" borderId="0" xfId="0" applyAlignment="1">
      <alignment horizontal="right"/>
    </xf>
    <xf numFmtId="0" fontId="5" fillId="0" borderId="0" xfId="0" applyFont="1"/>
    <xf numFmtId="169" fontId="5" fillId="0" borderId="1" xfId="24" applyNumberFormat="1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indent="3"/>
    </xf>
    <xf numFmtId="3" fontId="0" fillId="0" borderId="1" xfId="0" applyNumberFormat="1" applyBorder="1"/>
    <xf numFmtId="169" fontId="0" fillId="0" borderId="1" xfId="24" applyNumberFormat="1" applyFont="1" applyBorder="1"/>
    <xf numFmtId="0" fontId="0" fillId="0" borderId="1" xfId="0" applyBorder="1" applyAlignment="1">
      <alignment horizontal="left" wrapText="1" indent="3"/>
    </xf>
    <xf numFmtId="0" fontId="0" fillId="0" borderId="1" xfId="0" applyBorder="1" applyAlignment="1">
      <alignment horizontal="left" wrapText="1" indent="2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3" fontId="5" fillId="2" borderId="1" xfId="0" applyNumberFormat="1" applyFont="1" applyFill="1" applyBorder="1"/>
    <xf numFmtId="169" fontId="5" fillId="2" borderId="1" xfId="24" applyNumberFormat="1" applyFont="1" applyFill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169" fontId="5" fillId="2" borderId="1" xfId="24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/>
    <xf numFmtId="3" fontId="5" fillId="3" borderId="1" xfId="0" applyNumberFormat="1" applyFont="1" applyFill="1" applyBorder="1"/>
    <xf numFmtId="169" fontId="5" fillId="3" borderId="1" xfId="24" applyNumberFormat="1" applyFont="1" applyFill="1" applyBorder="1"/>
    <xf numFmtId="0" fontId="5" fillId="0" borderId="1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41" fontId="0" fillId="0" borderId="0" xfId="1" applyFont="1" applyAlignment="1">
      <alignment horizontal="right"/>
    </xf>
    <xf numFmtId="41" fontId="0" fillId="0" borderId="0" xfId="0" applyNumberFormat="1"/>
    <xf numFmtId="41" fontId="5" fillId="2" borderId="1" xfId="1" applyFont="1" applyFill="1" applyBorder="1"/>
    <xf numFmtId="41" fontId="5" fillId="3" borderId="1" xfId="1" applyFont="1" applyFill="1" applyBorder="1"/>
    <xf numFmtId="41" fontId="0" fillId="0" borderId="1" xfId="1" applyFont="1" applyBorder="1"/>
    <xf numFmtId="41" fontId="5" fillId="0" borderId="1" xfId="1" applyFont="1" applyBorder="1"/>
    <xf numFmtId="41" fontId="5" fillId="2" borderId="1" xfId="1" applyFont="1" applyFill="1" applyBorder="1" applyAlignment="1">
      <alignment vertical="center"/>
    </xf>
    <xf numFmtId="0" fontId="6" fillId="0" borderId="0" xfId="0" applyFont="1"/>
    <xf numFmtId="41" fontId="6" fillId="0" borderId="0" xfId="1" applyFont="1"/>
    <xf numFmtId="0" fontId="6" fillId="0" borderId="0" xfId="0" applyFont="1" applyAlignment="1">
      <alignment horizontal="right"/>
    </xf>
    <xf numFmtId="41" fontId="6" fillId="0" borderId="0" xfId="1" applyFont="1" applyAlignment="1">
      <alignment horizontal="center"/>
    </xf>
    <xf numFmtId="41" fontId="4" fillId="0" borderId="0" xfId="1" applyFont="1"/>
    <xf numFmtId="41" fontId="6" fillId="0" borderId="0" xfId="0" applyNumberFormat="1" applyFont="1"/>
    <xf numFmtId="0" fontId="0" fillId="0" borderId="2" xfId="0" applyBorder="1"/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/>
    <xf numFmtId="41" fontId="7" fillId="0" borderId="0" xfId="1" applyFont="1" applyAlignment="1">
      <alignment horizontal="right"/>
    </xf>
    <xf numFmtId="169" fontId="7" fillId="0" borderId="0" xfId="24" applyNumberFormat="1" applyFont="1" applyAlignment="1">
      <alignment horizontal="right"/>
    </xf>
    <xf numFmtId="41" fontId="7" fillId="0" borderId="2" xfId="1" applyFont="1" applyBorder="1"/>
    <xf numFmtId="0" fontId="8" fillId="0" borderId="0" xfId="0" applyFont="1"/>
    <xf numFmtId="41" fontId="8" fillId="0" borderId="0" xfId="1" applyNumberFormat="1" applyFont="1" applyAlignment="1">
      <alignment horizontal="left" indent="1"/>
    </xf>
    <xf numFmtId="0" fontId="7" fillId="0" borderId="0" xfId="0" applyFont="1" applyAlignment="1">
      <alignment horizontal="center"/>
    </xf>
    <xf numFmtId="41" fontId="7" fillId="0" borderId="0" xfId="1" applyNumberFormat="1" applyFont="1" applyAlignment="1"/>
    <xf numFmtId="41" fontId="7" fillId="0" borderId="2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170" fontId="0" fillId="0" borderId="1" xfId="0" applyNumberFormat="1" applyBorder="1"/>
    <xf numFmtId="170" fontId="0" fillId="2" borderId="1" xfId="0" applyNumberFormat="1" applyFill="1" applyBorder="1"/>
    <xf numFmtId="169" fontId="7" fillId="0" borderId="2" xfId="24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41" fontId="7" fillId="0" borderId="0" xfId="1" applyFont="1" applyBorder="1"/>
    <xf numFmtId="41" fontId="7" fillId="0" borderId="0" xfId="0" applyNumberFormat="1" applyFont="1" applyBorder="1" applyAlignment="1"/>
    <xf numFmtId="0" fontId="12" fillId="0" borderId="0" xfId="0" applyFont="1"/>
    <xf numFmtId="9" fontId="8" fillId="0" borderId="0" xfId="24" applyNumberFormat="1" applyFont="1" applyFill="1" applyAlignment="1">
      <alignment horizontal="right" indent="1"/>
    </xf>
    <xf numFmtId="0" fontId="8" fillId="0" borderId="1" xfId="0" applyFont="1" applyBorder="1" applyAlignment="1">
      <alignment horizontal="left" vertical="center"/>
    </xf>
    <xf numFmtId="41" fontId="8" fillId="0" borderId="1" xfId="1" applyFont="1" applyBorder="1" applyAlignment="1">
      <alignment horizontal="center" vertical="center"/>
    </xf>
    <xf numFmtId="9" fontId="8" fillId="0" borderId="1" xfId="24" applyFont="1" applyBorder="1" applyAlignment="1">
      <alignment horizontal="right" vertical="center"/>
    </xf>
    <xf numFmtId="41" fontId="13" fillId="0" borderId="0" xfId="1" applyNumberFormat="1" applyFont="1" applyAlignment="1">
      <alignment horizontal="left" indent="1"/>
    </xf>
    <xf numFmtId="41" fontId="13" fillId="0" borderId="0" xfId="0" applyNumberFormat="1" applyFont="1" applyBorder="1" applyAlignment="1">
      <alignment horizontal="left" indent="1"/>
    </xf>
    <xf numFmtId="41" fontId="13" fillId="0" borderId="0" xfId="0" applyNumberFormat="1" applyFont="1" applyBorder="1" applyAlignment="1"/>
    <xf numFmtId="41" fontId="13" fillId="0" borderId="2" xfId="0" applyNumberFormat="1" applyFont="1" applyBorder="1" applyAlignment="1"/>
    <xf numFmtId="41" fontId="14" fillId="0" borderId="0" xfId="1" applyNumberFormat="1" applyFont="1" applyAlignment="1">
      <alignment horizontal="left" indent="1"/>
    </xf>
    <xf numFmtId="9" fontId="14" fillId="0" borderId="0" xfId="24" applyFont="1" applyAlignment="1">
      <alignment horizontal="right" indent="1"/>
    </xf>
    <xf numFmtId="10" fontId="0" fillId="0" borderId="0" xfId="24" applyNumberFormat="1" applyFont="1"/>
    <xf numFmtId="0" fontId="15" fillId="0" borderId="0" xfId="0" applyFont="1" applyAlignment="1">
      <alignment horizontal="left"/>
    </xf>
    <xf numFmtId="0" fontId="0" fillId="0" borderId="0" xfId="0" applyAlignment="1">
      <alignment horizontal="right" indent="5"/>
    </xf>
    <xf numFmtId="171" fontId="0" fillId="0" borderId="0" xfId="1" applyNumberFormat="1" applyFont="1" applyAlignment="1">
      <alignment horizontal="center"/>
    </xf>
    <xf numFmtId="0" fontId="0" fillId="0" borderId="2" xfId="0" applyBorder="1" applyAlignment="1">
      <alignment horizontal="right" indent="5"/>
    </xf>
    <xf numFmtId="171" fontId="0" fillId="0" borderId="2" xfId="1" applyNumberFormat="1" applyFont="1" applyBorder="1" applyAlignment="1">
      <alignment horizontal="center"/>
    </xf>
    <xf numFmtId="0" fontId="14" fillId="0" borderId="0" xfId="0" applyFont="1" applyAlignment="1">
      <alignment horizontal="right" indent="5"/>
    </xf>
    <xf numFmtId="171" fontId="14" fillId="0" borderId="0" xfId="1" applyNumberFormat="1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41" fontId="14" fillId="0" borderId="0" xfId="1" applyFont="1" applyAlignment="1">
      <alignment horizontal="right"/>
    </xf>
    <xf numFmtId="0" fontId="16" fillId="0" borderId="0" xfId="0" applyFont="1" applyAlignment="1">
      <alignment horizontal="left"/>
    </xf>
    <xf numFmtId="0" fontId="18" fillId="0" borderId="1" xfId="0" applyFont="1" applyBorder="1" applyAlignment="1">
      <alignment horizontal="center"/>
    </xf>
    <xf numFmtId="0" fontId="20" fillId="0" borderId="0" xfId="0" applyFont="1"/>
    <xf numFmtId="0" fontId="0" fillId="0" borderId="2" xfId="0" applyBorder="1" applyAlignment="1">
      <alignment horizontal="center"/>
    </xf>
    <xf numFmtId="171" fontId="0" fillId="0" borderId="0" xfId="1" applyNumberFormat="1" applyFont="1" applyAlignment="1">
      <alignment horizontal="right" indent="2"/>
    </xf>
    <xf numFmtId="171" fontId="0" fillId="0" borderId="2" xfId="1" applyNumberFormat="1" applyFont="1" applyBorder="1" applyAlignment="1">
      <alignment horizontal="right" indent="2"/>
    </xf>
    <xf numFmtId="172" fontId="0" fillId="0" borderId="0" xfId="0" applyNumberFormat="1" applyAlignment="1">
      <alignment horizontal="right" indent="4"/>
    </xf>
    <xf numFmtId="0" fontId="19" fillId="0" borderId="0" xfId="0" applyFont="1" applyAlignment="1">
      <alignment horizontal="left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/>
    </xf>
    <xf numFmtId="41" fontId="17" fillId="0" borderId="1" xfId="1" applyFont="1" applyBorder="1" applyAlignment="1">
      <alignment horizontal="center" vertical="center"/>
    </xf>
    <xf numFmtId="41" fontId="7" fillId="0" borderId="0" xfId="1" applyFont="1"/>
    <xf numFmtId="0" fontId="17" fillId="0" borderId="1" xfId="0" applyFont="1" applyBorder="1" applyAlignment="1">
      <alignment horizontal="left" vertical="center" indent="3"/>
    </xf>
    <xf numFmtId="9" fontId="7" fillId="0" borderId="0" xfId="24" applyFont="1"/>
    <xf numFmtId="0" fontId="8" fillId="0" borderId="0" xfId="0" applyFont="1" applyAlignment="1">
      <alignment horizontal="left" indent="3"/>
    </xf>
    <xf numFmtId="41" fontId="8" fillId="0" borderId="0" xfId="1" applyFont="1"/>
    <xf numFmtId="9" fontId="8" fillId="0" borderId="0" xfId="0" applyNumberFormat="1" applyFont="1"/>
    <xf numFmtId="171" fontId="0" fillId="0" borderId="0" xfId="0" applyNumberFormat="1"/>
    <xf numFmtId="0" fontId="14" fillId="0" borderId="0" xfId="0" applyFont="1" applyAlignment="1">
      <alignment horizontal="center"/>
    </xf>
    <xf numFmtId="171" fontId="14" fillId="0" borderId="0" xfId="1" applyNumberFormat="1" applyFont="1" applyAlignment="1">
      <alignment horizontal="right" inden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Font="1"/>
    <xf numFmtId="0" fontId="24" fillId="0" borderId="0" xfId="0" applyFont="1"/>
    <xf numFmtId="0" fontId="7" fillId="5" borderId="0" xfId="0" applyFont="1" applyFill="1" applyAlignment="1">
      <alignment horizontal="center"/>
    </xf>
    <xf numFmtId="0" fontId="7" fillId="5" borderId="0" xfId="0" applyFont="1" applyFill="1"/>
    <xf numFmtId="169" fontId="7" fillId="5" borderId="0" xfId="24" applyNumberFormat="1" applyFont="1" applyFill="1" applyAlignment="1">
      <alignment horizontal="right" indent="3"/>
    </xf>
    <xf numFmtId="0" fontId="0" fillId="5" borderId="0" xfId="0" applyFill="1"/>
    <xf numFmtId="0" fontId="0" fillId="5" borderId="0" xfId="0" applyFill="1" applyAlignment="1">
      <alignment horizontal="right"/>
    </xf>
    <xf numFmtId="41" fontId="0" fillId="5" borderId="0" xfId="0" applyNumberFormat="1" applyFill="1"/>
    <xf numFmtId="173" fontId="0" fillId="0" borderId="0" xfId="1" applyNumberFormat="1" applyFont="1"/>
    <xf numFmtId="173" fontId="0" fillId="5" borderId="0" xfId="1" applyNumberFormat="1" applyFont="1" applyFill="1"/>
    <xf numFmtId="173" fontId="6" fillId="0" borderId="0" xfId="1" applyNumberFormat="1" applyFont="1"/>
    <xf numFmtId="173" fontId="6" fillId="0" borderId="0" xfId="1" applyNumberFormat="1" applyFont="1" applyAlignment="1">
      <alignment horizontal="right"/>
    </xf>
    <xf numFmtId="0" fontId="7" fillId="4" borderId="0" xfId="0" applyFont="1" applyFill="1" applyAlignment="1">
      <alignment horizontal="right"/>
    </xf>
    <xf numFmtId="0" fontId="8" fillId="4" borderId="0" xfId="0" applyFont="1" applyFill="1"/>
    <xf numFmtId="173" fontId="0" fillId="0" borderId="0" xfId="0" applyNumberFormat="1"/>
    <xf numFmtId="0" fontId="7" fillId="0" borderId="2" xfId="0" applyFont="1" applyBorder="1" applyAlignment="1">
      <alignment horizontal="left" vertical="center" wrapText="1" shrinkToFit="1"/>
    </xf>
    <xf numFmtId="0" fontId="7" fillId="0" borderId="0" xfId="0" applyFont="1" applyAlignment="1"/>
    <xf numFmtId="41" fontId="7" fillId="0" borderId="2" xfId="1" applyFont="1" applyBorder="1" applyAlignment="1">
      <alignment vertical="center"/>
    </xf>
    <xf numFmtId="173" fontId="13" fillId="0" borderId="0" xfId="1" applyNumberFormat="1" applyFont="1" applyAlignment="1">
      <alignment horizontal="left" indent="1"/>
    </xf>
    <xf numFmtId="173" fontId="7" fillId="0" borderId="0" xfId="1" applyNumberFormat="1" applyFont="1" applyAlignment="1">
      <alignment horizontal="right"/>
    </xf>
    <xf numFmtId="173" fontId="7" fillId="0" borderId="0" xfId="1" applyNumberFormat="1" applyFont="1" applyAlignment="1">
      <alignment horizontal="left"/>
    </xf>
    <xf numFmtId="173" fontId="7" fillId="5" borderId="0" xfId="1" applyNumberFormat="1" applyFont="1" applyFill="1" applyAlignment="1">
      <alignment horizontal="right"/>
    </xf>
    <xf numFmtId="173" fontId="7" fillId="5" borderId="0" xfId="1" applyNumberFormat="1" applyFont="1" applyFill="1" applyAlignment="1">
      <alignment horizontal="left"/>
    </xf>
    <xf numFmtId="173" fontId="13" fillId="5" borderId="0" xfId="1" applyNumberFormat="1" applyFont="1" applyFill="1" applyAlignment="1">
      <alignment horizontal="left" indent="1"/>
    </xf>
    <xf numFmtId="173" fontId="7" fillId="0" borderId="0" xfId="1" applyNumberFormat="1" applyFont="1" applyBorder="1"/>
    <xf numFmtId="173" fontId="7" fillId="0" borderId="0" xfId="0" applyNumberFormat="1" applyFont="1" applyBorder="1" applyAlignment="1">
      <alignment horizontal="left"/>
    </xf>
    <xf numFmtId="173" fontId="13" fillId="0" borderId="0" xfId="0" applyNumberFormat="1" applyFont="1" applyBorder="1" applyAlignment="1">
      <alignment horizontal="left"/>
    </xf>
    <xf numFmtId="173" fontId="7" fillId="0" borderId="2" xfId="1" applyNumberFormat="1" applyFont="1" applyBorder="1"/>
    <xf numFmtId="173" fontId="7" fillId="0" borderId="2" xfId="0" applyNumberFormat="1" applyFont="1" applyBorder="1" applyAlignment="1">
      <alignment horizontal="left"/>
    </xf>
    <xf numFmtId="173" fontId="13" fillId="0" borderId="2" xfId="0" applyNumberFormat="1" applyFont="1" applyBorder="1" applyAlignment="1">
      <alignment horizontal="left"/>
    </xf>
    <xf numFmtId="173" fontId="8" fillId="4" borderId="0" xfId="1" applyNumberFormat="1" applyFont="1" applyFill="1" applyAlignment="1">
      <alignment horizontal="left" indent="1"/>
    </xf>
    <xf numFmtId="173" fontId="14" fillId="4" borderId="0" xfId="1" applyNumberFormat="1" applyFont="1" applyFill="1" applyAlignment="1">
      <alignment horizontal="left" indent="1"/>
    </xf>
    <xf numFmtId="0" fontId="8" fillId="4" borderId="0" xfId="0" applyFont="1" applyFill="1" applyAlignment="1">
      <alignment horizontal="center"/>
    </xf>
    <xf numFmtId="173" fontId="8" fillId="4" borderId="0" xfId="1" applyNumberFormat="1" applyFont="1" applyFill="1" applyAlignment="1">
      <alignment horizontal="right"/>
    </xf>
    <xf numFmtId="173" fontId="8" fillId="4" borderId="0" xfId="1" applyNumberFormat="1" applyFont="1" applyFill="1" applyAlignment="1">
      <alignment horizontal="left"/>
    </xf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/>
    <xf numFmtId="173" fontId="8" fillId="4" borderId="0" xfId="1" applyNumberFormat="1" applyFont="1" applyFill="1" applyBorder="1"/>
    <xf numFmtId="173" fontId="8" fillId="4" borderId="0" xfId="0" applyNumberFormat="1" applyFont="1" applyFill="1" applyBorder="1" applyAlignment="1">
      <alignment horizontal="left"/>
    </xf>
    <xf numFmtId="173" fontId="14" fillId="4" borderId="0" xfId="0" applyNumberFormat="1" applyFont="1" applyFill="1" applyBorder="1" applyAlignment="1">
      <alignment horizontal="left" indent="1"/>
    </xf>
    <xf numFmtId="173" fontId="8" fillId="0" borderId="0" xfId="1" applyNumberFormat="1" applyFont="1" applyAlignment="1">
      <alignment horizontal="left" indent="1"/>
    </xf>
    <xf numFmtId="0" fontId="17" fillId="0" borderId="0" xfId="0" applyFont="1" applyBorder="1" applyAlignment="1">
      <alignment horizontal="center" vertical="center"/>
    </xf>
    <xf numFmtId="9" fontId="7" fillId="0" borderId="0" xfId="24" applyFont="1" applyBorder="1" applyAlignment="1">
      <alignment vertical="center"/>
    </xf>
    <xf numFmtId="173" fontId="8" fillId="4" borderId="0" xfId="1" applyNumberFormat="1" applyFont="1" applyFill="1" applyAlignment="1">
      <alignment horizontal="right" indent="3"/>
    </xf>
    <xf numFmtId="173" fontId="14" fillId="4" borderId="0" xfId="1" applyNumberFormat="1" applyFont="1" applyFill="1" applyAlignment="1">
      <alignment horizontal="center"/>
    </xf>
    <xf numFmtId="0" fontId="1" fillId="0" borderId="0" xfId="0" applyFont="1"/>
    <xf numFmtId="43" fontId="0" fillId="0" borderId="0" xfId="0" applyNumberFormat="1"/>
    <xf numFmtId="174" fontId="7" fillId="5" borderId="0" xfId="1" applyNumberFormat="1" applyFont="1" applyFill="1" applyAlignment="1">
      <alignment horizontal="left"/>
    </xf>
    <xf numFmtId="175" fontId="0" fillId="0" borderId="0" xfId="0" applyNumberFormat="1"/>
    <xf numFmtId="173" fontId="7" fillId="0" borderId="0" xfId="1" applyNumberFormat="1" applyFont="1" applyAlignment="1">
      <alignment horizontal="right" indent="3"/>
    </xf>
    <xf numFmtId="173" fontId="7" fillId="0" borderId="0" xfId="1" applyNumberFormat="1" applyFont="1" applyAlignment="1"/>
    <xf numFmtId="173" fontId="7" fillId="5" borderId="0" xfId="1" applyNumberFormat="1" applyFont="1" applyFill="1" applyAlignment="1">
      <alignment horizontal="right" indent="3"/>
    </xf>
    <xf numFmtId="173" fontId="7" fillId="0" borderId="2" xfId="1" applyNumberFormat="1" applyFont="1" applyBorder="1" applyAlignment="1">
      <alignment horizontal="right" indent="3"/>
    </xf>
    <xf numFmtId="10" fontId="7" fillId="0" borderId="0" xfId="24" applyNumberFormat="1" applyFont="1"/>
    <xf numFmtId="10" fontId="7" fillId="0" borderId="2" xfId="24" applyNumberFormat="1" applyFont="1" applyBorder="1" applyAlignment="1">
      <alignment vertical="center"/>
    </xf>
    <xf numFmtId="43" fontId="0" fillId="5" borderId="0" xfId="0" applyNumberFormat="1" applyFill="1"/>
    <xf numFmtId="173" fontId="7" fillId="0" borderId="0" xfId="1" applyNumberFormat="1" applyFont="1" applyFill="1" applyAlignment="1">
      <alignment horizontal="left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25" fillId="6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25">
    <cellStyle name="Comma [0] 2" xfId="10"/>
    <cellStyle name="Comma [0] 3" xfId="11"/>
    <cellStyle name="Comma 2" xfId="12"/>
    <cellStyle name="Comma 3" xfId="8"/>
    <cellStyle name="Millares [0]" xfId="1" builtinId="6"/>
    <cellStyle name="Millares [0] 2" xfId="13"/>
    <cellStyle name="Millares [0] 3" xfId="14"/>
    <cellStyle name="Millares 15" xfId="2"/>
    <cellStyle name="Millares 2" xfId="4"/>
    <cellStyle name="Millares 2 2" xfId="6"/>
    <cellStyle name="Millares 2 3" xfId="5"/>
    <cellStyle name="Millares 4" xfId="15"/>
    <cellStyle name="Normal" xfId="0" builtinId="0"/>
    <cellStyle name="Normal 10 2" xfId="16"/>
    <cellStyle name="Normal 16" xfId="17"/>
    <cellStyle name="Normal 16 2" xfId="18"/>
    <cellStyle name="Normal 2" xfId="9"/>
    <cellStyle name="Normal 2 2" xfId="7"/>
    <cellStyle name="Normal 2 2 2" xfId="19"/>
    <cellStyle name="Normal 3" xfId="20"/>
    <cellStyle name="Normal 3 2" xfId="3"/>
    <cellStyle name="Normal 7" xfId="21"/>
    <cellStyle name="Normal 9 2" xfId="22"/>
    <cellStyle name="Porcentaje" xfId="24" builtinId="5"/>
    <cellStyle name="Porcentaje 2" xfId="23"/>
  </cellStyles>
  <dxfs count="0"/>
  <tableStyles count="0" defaultTableStyle="TableStyleMedium2" defaultPivotStyle="PivotStyleLight16"/>
  <colors>
    <mruColors>
      <color rgb="FF0000FF"/>
      <color rgb="FF999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>
                <a:solidFill>
                  <a:srgbClr val="0070C0"/>
                </a:solidFill>
              </a:rPr>
              <a:t>% Proyección</a:t>
            </a:r>
            <a:r>
              <a:rPr lang="en-US" sz="1600" baseline="0">
                <a:solidFill>
                  <a:srgbClr val="0070C0"/>
                </a:solidFill>
              </a:rPr>
              <a:t> </a:t>
            </a:r>
            <a:r>
              <a:rPr lang="en-US" sz="1600">
                <a:solidFill>
                  <a:srgbClr val="0070C0"/>
                </a:solidFill>
              </a:rPr>
              <a:t>plurianual del Presupuesto</a:t>
            </a:r>
          </a:p>
        </c:rich>
      </c:tx>
      <c:layout>
        <c:manualLayout>
          <c:xMode val="edge"/>
          <c:yMode val="edge"/>
          <c:x val="0.20302975682578353"/>
          <c:y val="9.482753365506730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112570372836119"/>
          <c:y val="0.20540472440944882"/>
          <c:w val="0.38167741550857842"/>
          <c:h val="0.56720121920243838"/>
        </c:manualLayout>
      </c:layout>
      <c:pieChart>
        <c:varyColors val="1"/>
        <c:ser>
          <c:idx val="0"/>
          <c:order val="0"/>
          <c:tx>
            <c:strRef>
              <c:f>'b)'!$E$15</c:f>
              <c:strCache>
                <c:ptCount val="1"/>
                <c:pt idx="0">
                  <c:v>Monto USS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9999FF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3.7090299882727426E-2"/>
                  <c:y val="-3.358931985353682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0441766250983004E-2"/>
                  <c:y val="-2.22041148082296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6543478166068991E-2"/>
                  <c:y val="-4.693319786639573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959616569488166E-2"/>
                  <c:y val="-4.66409956819913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3.4974552003966444E-2"/>
                  <c:y val="-3.928331216662433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PY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'b)'!$D$17:$D$21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'b)'!$E$17:$E$21</c:f>
              <c:numCache>
                <c:formatCode>#,##0_ ;\-#,##0\ </c:formatCode>
                <c:ptCount val="5"/>
                <c:pt idx="0">
                  <c:v>31158968.19814286</c:v>
                </c:pt>
                <c:pt idx="1">
                  <c:v>5875719.4231614564</c:v>
                </c:pt>
                <c:pt idx="2">
                  <c:v>3835930.595027898</c:v>
                </c:pt>
                <c:pt idx="3">
                  <c:v>1326745.7784791966</c:v>
                </c:pt>
                <c:pt idx="4">
                  <c:v>802636.43127690104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0.2444204061998434"/>
          <c:y val="0.82335930911861821"/>
          <c:w val="0.40895466999646946"/>
          <c:h val="7.3747117094234191E-2"/>
        </c:manualLayout>
      </c:layout>
      <c:overlay val="0"/>
      <c:txPr>
        <a:bodyPr/>
        <a:lstStyle/>
        <a:p>
          <a:pPr>
            <a:defRPr b="1"/>
          </a:pPr>
          <a:endParaRPr lang="es-PY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Y">
                <a:solidFill>
                  <a:srgbClr val="0070C0"/>
                </a:solidFill>
              </a:rPr>
              <a:t>Ejecución</a:t>
            </a:r>
            <a:r>
              <a:rPr lang="es-PY" baseline="0">
                <a:solidFill>
                  <a:srgbClr val="0070C0"/>
                </a:solidFill>
              </a:rPr>
              <a:t> sobre la base del PGN 2022</a:t>
            </a:r>
            <a:endParaRPr lang="es-PY">
              <a:solidFill>
                <a:srgbClr val="0070C0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268903390509977E-2"/>
          <c:y val="9.2613855068073264E-2"/>
          <c:w val="0.88423522382490527"/>
          <c:h val="0.630302114389987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babase!$F$59</c:f>
              <c:strCache>
                <c:ptCount val="1"/>
                <c:pt idx="0">
                  <c:v>PGN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multiLvlStrRef>
              <c:f>babase!$C$60:$D$68</c:f>
              <c:multiLvlStrCache>
                <c:ptCount val="9"/>
                <c:lvl>
                  <c:pt idx="0">
                    <c:v>Servicios 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Física</c:v>
                  </c:pt>
                  <c:pt idx="4">
                    <c:v>Transferencias (UNFPA y BANCARD)</c:v>
                  </c:pt>
                  <c:pt idx="5">
                    <c:v>Otros gastos</c:v>
                  </c:pt>
                  <c:pt idx="6">
                    <c:v>Imprevistos </c:v>
                  </c:pt>
                  <c:pt idx="7">
                    <c:v>Recursos no asignados</c:v>
                  </c:pt>
                  <c:pt idx="8">
                    <c:v>Totales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babase!$F$60:$F$68</c:f>
              <c:numCache>
                <c:formatCode>_(* #,##0_);_(* \(#,##0\);_(* "-"_);_(@_)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babase!$G$59</c:f>
              <c:strCache>
                <c:ptCount val="1"/>
                <c:pt idx="0">
                  <c:v>Ejecutado(**)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multiLvlStrRef>
              <c:f>babase!$C$60:$D$68</c:f>
              <c:multiLvlStrCache>
                <c:ptCount val="9"/>
                <c:lvl>
                  <c:pt idx="0">
                    <c:v>Servicios 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Física</c:v>
                  </c:pt>
                  <c:pt idx="4">
                    <c:v>Transferencias (UNFPA y BANCARD)</c:v>
                  </c:pt>
                  <c:pt idx="5">
                    <c:v>Otros gastos</c:v>
                  </c:pt>
                  <c:pt idx="6">
                    <c:v>Imprevistos </c:v>
                  </c:pt>
                  <c:pt idx="7">
                    <c:v>Recursos no asignados</c:v>
                  </c:pt>
                  <c:pt idx="8">
                    <c:v>Totales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babase!$G$60:$G$68</c:f>
              <c:numCache>
                <c:formatCode>_(* #,##0_);_(* \(#,##0\);_(* "-"_);_(@_)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babase!$H$59</c:f>
              <c:strCache>
                <c:ptCount val="1"/>
                <c:pt idx="0">
                  <c:v>Comprometido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babase!$C$60:$D$68</c:f>
              <c:multiLvlStrCache>
                <c:ptCount val="9"/>
                <c:lvl>
                  <c:pt idx="0">
                    <c:v>Servicios 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Física</c:v>
                  </c:pt>
                  <c:pt idx="4">
                    <c:v>Transferencias (UNFPA y BANCARD)</c:v>
                  </c:pt>
                  <c:pt idx="5">
                    <c:v>Otros gastos</c:v>
                  </c:pt>
                  <c:pt idx="6">
                    <c:v>Imprevistos </c:v>
                  </c:pt>
                  <c:pt idx="7">
                    <c:v>Recursos no asignados</c:v>
                  </c:pt>
                  <c:pt idx="8">
                    <c:v>Totales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babase!$H$60:$H$68</c:f>
              <c:numCache>
                <c:formatCode>_(* #,##0_);_(* \(#,##0\);_(* "-"_);_(@_)</c:formatCode>
                <c:ptCount val="9"/>
                <c:pt idx="0">
                  <c:v>3239579.4226685795</c:v>
                </c:pt>
                <c:pt idx="1">
                  <c:v>3779755.6668571429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4333952"/>
        <c:axId val="94339840"/>
      </c:barChart>
      <c:catAx>
        <c:axId val="94333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es-PY"/>
          </a:p>
        </c:txPr>
        <c:crossAx val="94339840"/>
        <c:crosses val="autoZero"/>
        <c:auto val="1"/>
        <c:lblAlgn val="ctr"/>
        <c:lblOffset val="100"/>
        <c:noMultiLvlLbl val="0"/>
      </c:catAx>
      <c:valAx>
        <c:axId val="94339840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b="1"/>
            </a:pPr>
            <a:endParaRPr lang="es-PY"/>
          </a:p>
        </c:txPr>
        <c:crossAx val="943339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199690982826932"/>
          <c:y val="0.96065637752851674"/>
          <c:w val="0.24561838946633413"/>
          <c:h val="3.7142595198329013E-2"/>
        </c:manualLayout>
      </c:layout>
      <c:overlay val="0"/>
      <c:txPr>
        <a:bodyPr/>
        <a:lstStyle/>
        <a:p>
          <a:pPr>
            <a:defRPr sz="900" b="1" i="1"/>
          </a:pPr>
          <a:endParaRPr lang="es-PY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Proyección plurianual del Presupuesto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babase!$F$7</c:f>
              <c:strCache>
                <c:ptCount val="1"/>
                <c:pt idx="0">
                  <c:v>Monto uss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3.7090299882727426E-2"/>
                  <c:y val="-3.358931985353682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7826101524543472E-2"/>
                  <c:y val="1.392501863193026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7313080545782841E-2"/>
                  <c:y val="1.33712452610090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6.1206604493587238E-3"/>
                  <c:y val="-1.05118797323109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1367584371102547E-2"/>
                  <c:y val="-1.605748355529632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babase!$E$9:$E$13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babase!$F$9:$F$13</c:f>
              <c:numCache>
                <c:formatCode>#,##0_ ;\-#,##0\ </c:formatCode>
                <c:ptCount val="5"/>
                <c:pt idx="0">
                  <c:v>29586207.368399516</c:v>
                </c:pt>
                <c:pt idx="1">
                  <c:v>4858691.3380331285</c:v>
                </c:pt>
                <c:pt idx="2">
                  <c:v>2823045.5098995701</c:v>
                </c:pt>
                <c:pt idx="3">
                  <c:v>1326745.7784791966</c:v>
                </c:pt>
                <c:pt idx="4">
                  <c:v>802636.43127690104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0.33963403510731371"/>
          <c:y val="0.91788844457270058"/>
          <c:w val="0.36727745091207553"/>
          <c:h val="5.5682566238111693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Y" sz="1800">
                <a:solidFill>
                  <a:srgbClr val="0070C0"/>
                </a:solidFill>
              </a:rPr>
              <a:t>Ejecución sobre la</a:t>
            </a:r>
            <a:r>
              <a:rPr lang="es-PY" sz="1800" baseline="0">
                <a:solidFill>
                  <a:srgbClr val="0070C0"/>
                </a:solidFill>
              </a:rPr>
              <a:t> base del prestamo</a:t>
            </a:r>
            <a:endParaRPr lang="es-PY" sz="1800">
              <a:solidFill>
                <a:srgbClr val="0070C0"/>
              </a:solidFill>
            </a:endParaRPr>
          </a:p>
        </c:rich>
      </c:tx>
      <c:layout>
        <c:manualLayout>
          <c:xMode val="edge"/>
          <c:yMode val="edge"/>
          <c:x val="0.3067026592206426"/>
          <c:y val="1.24412803603176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700493479572427E-2"/>
          <c:y val="9.0198396469200789E-2"/>
          <c:w val="0.8988921718773365"/>
          <c:h val="0.64208781391197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babase!$E$109</c:f>
              <c:strCache>
                <c:ptCount val="1"/>
                <c:pt idx="0">
                  <c:v>Plan de Ejecución del Presupuesto(*)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multiLvlStrRef>
              <c:f>babase!$C$110:$D$118</c:f>
              <c:multiLvlStrCache>
                <c:ptCount val="9"/>
                <c:lvl>
                  <c:pt idx="0">
                    <c:v>Servicios 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Física</c:v>
                  </c:pt>
                  <c:pt idx="4">
                    <c:v>Transferencias (UNFPA y BANCARD)</c:v>
                  </c:pt>
                  <c:pt idx="5">
                    <c:v>Otros gastos</c:v>
                  </c:pt>
                  <c:pt idx="6">
                    <c:v>Imprevistos </c:v>
                  </c:pt>
                  <c:pt idx="7">
                    <c:v>Recursos no asignados</c:v>
                  </c:pt>
                  <c:pt idx="8">
                    <c:v>Totales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babase!$E$110:$E$118</c:f>
              <c:numCache>
                <c:formatCode>_(* #,##0_);_(* \(#,##0\);_(* "-"_);_(@_)</c:formatCode>
                <c:ptCount val="9"/>
                <c:pt idx="0">
                  <c:v>15433776</c:v>
                </c:pt>
                <c:pt idx="1">
                  <c:v>10213271</c:v>
                </c:pt>
                <c:pt idx="2">
                  <c:v>2758597</c:v>
                </c:pt>
                <c:pt idx="3">
                  <c:v>2943700</c:v>
                </c:pt>
                <c:pt idx="4">
                  <c:v>7427466</c:v>
                </c:pt>
                <c:pt idx="5">
                  <c:v>20516</c:v>
                </c:pt>
                <c:pt idx="6">
                  <c:v>600000</c:v>
                </c:pt>
                <c:pt idx="7">
                  <c:v>3602674</c:v>
                </c:pt>
                <c:pt idx="8">
                  <c:v>43000000</c:v>
                </c:pt>
              </c:numCache>
            </c:numRef>
          </c:val>
        </c:ser>
        <c:ser>
          <c:idx val="1"/>
          <c:order val="1"/>
          <c:tx>
            <c:strRef>
              <c:f>babase!$F$109</c:f>
              <c:strCache>
                <c:ptCount val="1"/>
                <c:pt idx="0">
                  <c:v>Ejecutado(**)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multiLvlStrRef>
              <c:f>babase!$C$110:$D$118</c:f>
              <c:multiLvlStrCache>
                <c:ptCount val="9"/>
                <c:lvl>
                  <c:pt idx="0">
                    <c:v>Servicios 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Física</c:v>
                  </c:pt>
                  <c:pt idx="4">
                    <c:v>Transferencias (UNFPA y BANCARD)</c:v>
                  </c:pt>
                  <c:pt idx="5">
                    <c:v>Otros gastos</c:v>
                  </c:pt>
                  <c:pt idx="6">
                    <c:v>Imprevistos </c:v>
                  </c:pt>
                  <c:pt idx="7">
                    <c:v>Recursos no asignados</c:v>
                  </c:pt>
                  <c:pt idx="8">
                    <c:v>Totales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babase!$F$110:$F$118</c:f>
              <c:numCache>
                <c:formatCode>_(* #,##0_);_(* \(#,##0\);_(* "-"_);_(@_)</c:formatCode>
                <c:ptCount val="9"/>
                <c:pt idx="0">
                  <c:v>4406982.3168571433</c:v>
                </c:pt>
                <c:pt idx="1">
                  <c:v>3164923.746857143</c:v>
                </c:pt>
                <c:pt idx="2">
                  <c:v>1804025.6312857142</c:v>
                </c:pt>
                <c:pt idx="3">
                  <c:v>1422779.0644285714</c:v>
                </c:pt>
                <c:pt idx="4">
                  <c:v>7262479.7120000003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18061190.471428573</c:v>
                </c:pt>
              </c:numCache>
            </c:numRef>
          </c:val>
        </c:ser>
        <c:ser>
          <c:idx val="2"/>
          <c:order val="2"/>
          <c:tx>
            <c:strRef>
              <c:f>babase!$G$109</c:f>
              <c:strCache>
                <c:ptCount val="1"/>
                <c:pt idx="0">
                  <c:v>Comprometido</c:v>
                </c:pt>
              </c:strCache>
            </c:strRef>
          </c:tx>
          <c:invertIfNegative val="0"/>
          <c:cat>
            <c:multiLvlStrRef>
              <c:f>babase!$C$110:$D$118</c:f>
              <c:multiLvlStrCache>
                <c:ptCount val="9"/>
                <c:lvl>
                  <c:pt idx="0">
                    <c:v>Servicios 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Física</c:v>
                  </c:pt>
                  <c:pt idx="4">
                    <c:v>Transferencias (UNFPA y BANCARD)</c:v>
                  </c:pt>
                  <c:pt idx="5">
                    <c:v>Otros gastos</c:v>
                  </c:pt>
                  <c:pt idx="6">
                    <c:v>Imprevistos </c:v>
                  </c:pt>
                  <c:pt idx="7">
                    <c:v>Recursos no asignados</c:v>
                  </c:pt>
                  <c:pt idx="8">
                    <c:v>Totales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babase!$G$110:$G$118</c:f>
              <c:numCache>
                <c:formatCode>_(* #,##0_);_(* \(#,##0\);_(* "-"_);_(@_)</c:formatCode>
                <c:ptCount val="9"/>
                <c:pt idx="0">
                  <c:v>3239579.4226685795</c:v>
                </c:pt>
                <c:pt idx="1">
                  <c:v>3311260.6668571429</c:v>
                </c:pt>
                <c:pt idx="2">
                  <c:v>743468.43828571425</c:v>
                </c:pt>
                <c:pt idx="3">
                  <c:v>429625.99585714284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7723934.5236685788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4579328"/>
        <c:axId val="94585216"/>
      </c:barChart>
      <c:catAx>
        <c:axId val="945793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PY"/>
          </a:p>
        </c:txPr>
        <c:crossAx val="94585216"/>
        <c:crosses val="autoZero"/>
        <c:auto val="1"/>
        <c:lblAlgn val="ctr"/>
        <c:lblOffset val="100"/>
        <c:noMultiLvlLbl val="0"/>
      </c:catAx>
      <c:valAx>
        <c:axId val="94585216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b="1"/>
            </a:pPr>
            <a:endParaRPr lang="es-PY"/>
          </a:p>
        </c:txPr>
        <c:crossAx val="945793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077543843365353"/>
          <c:y val="0.95480619543995826"/>
          <c:w val="0.49940524624991622"/>
          <c:h val="3.8762937478300043E-2"/>
        </c:manualLayout>
      </c:layout>
      <c:overlay val="0"/>
      <c:txPr>
        <a:bodyPr/>
        <a:lstStyle/>
        <a:p>
          <a:pPr>
            <a:defRPr sz="900" b="1" i="1"/>
          </a:pPr>
          <a:endParaRPr lang="es-PY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14</xdr:row>
      <xdr:rowOff>0</xdr:rowOff>
    </xdr:from>
    <xdr:to>
      <xdr:col>11</xdr:col>
      <xdr:colOff>571762</xdr:colOff>
      <xdr:row>71</xdr:row>
      <xdr:rowOff>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0.0644</cdr:x>
      <cdr:y>0.88619</cdr:y>
    </cdr:from>
    <cdr:to>
      <cdr:x>0.19731</cdr:x>
      <cdr:y>0.93811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1186" y="4361155"/>
          <a:ext cx="931282" cy="255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Y" sz="900" b="1" i="0" baseline="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275165</xdr:colOff>
      <xdr:row>76</xdr:row>
      <xdr:rowOff>78317</xdr:rowOff>
    </xdr:from>
    <xdr:to>
      <xdr:col>8</xdr:col>
      <xdr:colOff>1066800</xdr:colOff>
      <xdr:row>106</xdr:row>
      <xdr:rowOff>133350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676275</xdr:colOff>
      <xdr:row>0</xdr:row>
      <xdr:rowOff>152400</xdr:rowOff>
    </xdr:from>
    <xdr:to>
      <xdr:col>12</xdr:col>
      <xdr:colOff>352424</xdr:colOff>
      <xdr:row>21</xdr:row>
      <xdr:rowOff>133350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121</xdr:row>
      <xdr:rowOff>38098</xdr:rowOff>
    </xdr:from>
    <xdr:to>
      <xdr:col>9</xdr:col>
      <xdr:colOff>466725</xdr:colOff>
      <xdr:row>152</xdr:row>
      <xdr:rowOff>57149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c/AppData/Local/Microsoft/Windows/INetCache/Content.Outlook/93ZL230M/PENDIENTES%20DE%20PAGOS%20DE%20SALA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 RENUNCIAS "/>
      <sheetName val="RESUMEN"/>
      <sheetName val="PENDIENTES DE COBRO"/>
      <sheetName val="141"/>
      <sheetName val="144"/>
      <sheetName val="145"/>
      <sheetName val="148"/>
    </sheetNames>
    <sheetDataSet>
      <sheetData sheetId="0"/>
      <sheetData sheetId="1">
        <row r="8">
          <cell r="J8">
            <v>41781.451428571432</v>
          </cell>
        </row>
        <row r="9">
          <cell r="J9">
            <v>81985.682285714283</v>
          </cell>
        </row>
        <row r="10">
          <cell r="J10">
            <v>1713176.2144285715</v>
          </cell>
        </row>
        <row r="11">
          <cell r="J11">
            <v>210851.70457142859</v>
          </cell>
        </row>
        <row r="12">
          <cell r="J12">
            <v>110391.61012999999</v>
          </cell>
        </row>
        <row r="13">
          <cell r="J13">
            <v>43643.809571428574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B3:J63"/>
  <sheetViews>
    <sheetView showGridLines="0" zoomScale="90" zoomScaleNormal="90" workbookViewId="0">
      <selection activeCell="C4" sqref="C4"/>
    </sheetView>
  </sheetViews>
  <sheetFormatPr baseColWidth="10" defaultRowHeight="15" x14ac:dyDescent="0.25"/>
  <cols>
    <col min="1" max="1" width="7.28515625" style="1" customWidth="1"/>
    <col min="2" max="2" width="5" style="3" customWidth="1"/>
    <col min="3" max="3" width="7.42578125" style="3" customWidth="1"/>
    <col min="4" max="4" width="28.140625" style="1" customWidth="1"/>
    <col min="5" max="5" width="20.140625" style="1" customWidth="1"/>
    <col min="6" max="6" width="21" style="1" customWidth="1"/>
    <col min="7" max="7" width="24.5703125" style="1" customWidth="1"/>
    <col min="8" max="8" width="16.140625" style="1" customWidth="1"/>
    <col min="9" max="9" width="19.28515625" style="1" customWidth="1"/>
    <col min="10" max="10" width="20.5703125" style="1" customWidth="1"/>
    <col min="11" max="11" width="15.7109375" style="1" bestFit="1" customWidth="1"/>
    <col min="12" max="16384" width="11.42578125" style="1"/>
  </cols>
  <sheetData>
    <row r="3" spans="2:10" x14ac:dyDescent="0.25">
      <c r="C3" s="164" t="s">
        <v>125</v>
      </c>
      <c r="D3" s="12"/>
    </row>
    <row r="4" spans="2:10" x14ac:dyDescent="0.25">
      <c r="C4" s="165" t="s">
        <v>126</v>
      </c>
    </row>
    <row r="7" spans="2:10" x14ac:dyDescent="0.25">
      <c r="C7" s="166" t="s">
        <v>113</v>
      </c>
      <c r="D7" s="166"/>
      <c r="E7" s="166"/>
      <c r="F7" s="166"/>
      <c r="G7" s="166"/>
      <c r="H7" s="166"/>
      <c r="I7" s="166"/>
      <c r="J7" s="166"/>
    </row>
    <row r="8" spans="2:10" x14ac:dyDescent="0.25">
      <c r="C8" s="166" t="s">
        <v>114</v>
      </c>
      <c r="D8" s="166"/>
      <c r="E8" s="166"/>
      <c r="F8" s="166"/>
      <c r="G8" s="166"/>
      <c r="H8" s="166"/>
      <c r="I8" s="166"/>
      <c r="J8" s="166"/>
    </row>
    <row r="9" spans="2:10" x14ac:dyDescent="0.25">
      <c r="C9" s="166" t="s">
        <v>115</v>
      </c>
      <c r="D9" s="166"/>
      <c r="E9" s="166"/>
      <c r="F9" s="166"/>
      <c r="G9" s="166"/>
      <c r="H9" s="166"/>
      <c r="I9" s="166"/>
      <c r="J9" s="166"/>
    </row>
    <row r="10" spans="2:10" x14ac:dyDescent="0.25">
      <c r="C10" s="166" t="s">
        <v>116</v>
      </c>
      <c r="D10" s="166"/>
      <c r="E10" s="166"/>
      <c r="F10" s="166"/>
      <c r="G10" s="166"/>
      <c r="H10" s="166"/>
      <c r="I10" s="166"/>
      <c r="J10" s="166"/>
    </row>
    <row r="11" spans="2:10" x14ac:dyDescent="0.25">
      <c r="C11" s="166" t="s">
        <v>120</v>
      </c>
      <c r="D11" s="166"/>
      <c r="E11" s="166"/>
      <c r="F11" s="166"/>
      <c r="G11" s="166"/>
      <c r="H11" s="166"/>
      <c r="I11" s="166"/>
      <c r="J11" s="166"/>
    </row>
    <row r="13" spans="2:10" ht="21" x14ac:dyDescent="0.35">
      <c r="C13" s="91"/>
    </row>
    <row r="15" spans="2:10" ht="40.5" customHeight="1" x14ac:dyDescent="0.25">
      <c r="C15" s="1"/>
      <c r="D15" s="106" t="s">
        <v>33</v>
      </c>
      <c r="E15" s="106" t="s">
        <v>57</v>
      </c>
    </row>
    <row r="16" spans="2:10" s="2" customFormat="1" x14ac:dyDescent="0.25">
      <c r="B16" s="28"/>
      <c r="D16" s="12">
        <v>2021</v>
      </c>
      <c r="E16" s="90">
        <v>0</v>
      </c>
    </row>
    <row r="17" spans="3:10" x14ac:dyDescent="0.25">
      <c r="C17" s="1"/>
      <c r="D17" s="12">
        <v>2022</v>
      </c>
      <c r="E17" s="88">
        <v>31158968.19814286</v>
      </c>
      <c r="I17" s="2"/>
      <c r="J17" s="103"/>
    </row>
    <row r="18" spans="3:10" x14ac:dyDescent="0.25">
      <c r="C18" s="1"/>
      <c r="D18" s="12">
        <v>2023</v>
      </c>
      <c r="E18" s="88">
        <v>5875719.4231614564</v>
      </c>
    </row>
    <row r="19" spans="3:10" x14ac:dyDescent="0.25">
      <c r="C19" s="1"/>
      <c r="D19" s="12">
        <v>2024</v>
      </c>
      <c r="E19" s="88">
        <v>3835930.595027898</v>
      </c>
      <c r="I19" s="103"/>
    </row>
    <row r="20" spans="3:10" x14ac:dyDescent="0.25">
      <c r="C20" s="1"/>
      <c r="D20" s="12">
        <v>2025</v>
      </c>
      <c r="E20" s="88">
        <v>1326745.7784791966</v>
      </c>
    </row>
    <row r="21" spans="3:10" ht="15.75" thickBot="1" x14ac:dyDescent="0.3">
      <c r="C21" s="1"/>
      <c r="D21" s="87">
        <v>2026</v>
      </c>
      <c r="E21" s="89">
        <v>802636.43127690104</v>
      </c>
    </row>
    <row r="22" spans="3:10" ht="15.75" x14ac:dyDescent="0.25">
      <c r="C22" s="1"/>
      <c r="D22" s="104" t="s">
        <v>14</v>
      </c>
      <c r="E22" s="105">
        <f>SUM(E17:E21)</f>
        <v>43000000.426088318</v>
      </c>
    </row>
    <row r="23" spans="3:10" x14ac:dyDescent="0.25">
      <c r="C23" s="1"/>
      <c r="D23" s="86"/>
      <c r="F23" s="108"/>
    </row>
    <row r="24" spans="3:10" x14ac:dyDescent="0.25">
      <c r="C24" s="1"/>
      <c r="D24" s="86" t="s">
        <v>119</v>
      </c>
      <c r="F24" s="108"/>
    </row>
    <row r="25" spans="3:10" x14ac:dyDescent="0.25">
      <c r="C25" s="1"/>
      <c r="F25" s="108"/>
    </row>
    <row r="26" spans="3:10" x14ac:dyDescent="0.25">
      <c r="C26" s="1"/>
      <c r="D26" s="2"/>
    </row>
    <row r="27" spans="3:10" x14ac:dyDescent="0.25">
      <c r="C27" s="1"/>
      <c r="D27" s="2"/>
    </row>
    <row r="28" spans="3:10" x14ac:dyDescent="0.25">
      <c r="C28" s="1"/>
      <c r="D28" s="2"/>
    </row>
    <row r="29" spans="3:10" x14ac:dyDescent="0.25">
      <c r="C29" s="1"/>
      <c r="D29" s="2"/>
    </row>
    <row r="30" spans="3:10" x14ac:dyDescent="0.25">
      <c r="C30" s="1"/>
      <c r="D30" s="2"/>
    </row>
    <row r="31" spans="3:10" hidden="1" x14ac:dyDescent="0.25">
      <c r="C31" s="1"/>
      <c r="D31" s="2"/>
    </row>
    <row r="32" spans="3:10" ht="21" hidden="1" x14ac:dyDescent="0.35">
      <c r="C32" s="75" t="s">
        <v>56</v>
      </c>
    </row>
    <row r="33" spans="2:10" hidden="1" x14ac:dyDescent="0.25"/>
    <row r="34" spans="2:10" s="12" customFormat="1" ht="33.75" hidden="1" customHeight="1" x14ac:dyDescent="0.25">
      <c r="B34" s="53" t="s">
        <v>2</v>
      </c>
      <c r="C34" s="53" t="s">
        <v>1</v>
      </c>
      <c r="D34" s="53" t="s">
        <v>0</v>
      </c>
      <c r="E34" s="26" t="s">
        <v>6</v>
      </c>
      <c r="F34" s="26" t="s">
        <v>18</v>
      </c>
      <c r="G34" s="53" t="s">
        <v>5</v>
      </c>
      <c r="H34" s="53" t="s">
        <v>4</v>
      </c>
    </row>
    <row r="35" spans="2:10" hidden="1" x14ac:dyDescent="0.25">
      <c r="B35" s="22"/>
      <c r="C35" s="22"/>
      <c r="D35" s="23" t="s">
        <v>3</v>
      </c>
      <c r="E35" s="24" t="e">
        <f>+#REF!/7000</f>
        <v>#REF!</v>
      </c>
      <c r="F35" s="24" t="e">
        <f>+#REF!/7000</f>
        <v>#REF!</v>
      </c>
      <c r="G35" s="31" t="e">
        <f>+#REF!/7000</f>
        <v>#REF!</v>
      </c>
      <c r="H35" s="25" t="e">
        <f>+F35/E35</f>
        <v>#REF!</v>
      </c>
    </row>
    <row r="36" spans="2:10" s="4" customFormat="1" hidden="1" x14ac:dyDescent="0.25">
      <c r="B36" s="13">
        <v>1</v>
      </c>
      <c r="C36" s="13">
        <v>100</v>
      </c>
      <c r="D36" s="14" t="s">
        <v>7</v>
      </c>
      <c r="E36" s="15" t="e">
        <f>+#REF!/7000</f>
        <v>#REF!</v>
      </c>
      <c r="F36" s="15" t="e">
        <f>+#REF!/7000</f>
        <v>#REF!</v>
      </c>
      <c r="G36" s="30">
        <v>3239579.4226685795</v>
      </c>
      <c r="H36" s="16" t="e">
        <f>+F36/E36</f>
        <v>#REF!</v>
      </c>
    </row>
    <row r="37" spans="2:10" hidden="1" x14ac:dyDescent="0.25">
      <c r="B37" s="6">
        <v>2</v>
      </c>
      <c r="C37" s="6">
        <v>120</v>
      </c>
      <c r="D37" s="7" t="s">
        <v>50</v>
      </c>
      <c r="E37" s="8" t="e">
        <f>+#REF!/7000</f>
        <v>#REF!</v>
      </c>
      <c r="F37" s="8" t="e">
        <f>+#REF!/7000</f>
        <v>#REF!</v>
      </c>
      <c r="G37" s="32" t="e">
        <f>+#REF!/7000</f>
        <v>#REF!</v>
      </c>
      <c r="H37" s="9" t="e">
        <f>+F37/E37</f>
        <v>#REF!</v>
      </c>
    </row>
    <row r="38" spans="2:10" hidden="1" x14ac:dyDescent="0.25">
      <c r="B38" s="6">
        <v>2</v>
      </c>
      <c r="C38" s="6">
        <v>130</v>
      </c>
      <c r="D38" s="7" t="s">
        <v>51</v>
      </c>
      <c r="E38" s="8" t="e">
        <f>+#REF!/7000</f>
        <v>#REF!</v>
      </c>
      <c r="F38" s="8" t="e">
        <f>+#REF!/7000</f>
        <v>#REF!</v>
      </c>
      <c r="G38" s="32" t="e">
        <f>+#REF!/7000</f>
        <v>#REF!</v>
      </c>
      <c r="H38" s="9" t="e">
        <f t="shared" ref="H38:H62" si="0">+F38/E38</f>
        <v>#REF!</v>
      </c>
    </row>
    <row r="39" spans="2:10" hidden="1" x14ac:dyDescent="0.25">
      <c r="B39" s="6">
        <v>2</v>
      </c>
      <c r="C39" s="6">
        <v>140</v>
      </c>
      <c r="D39" s="7" t="s">
        <v>52</v>
      </c>
      <c r="E39" s="8" t="e">
        <f>+#REF!/7000</f>
        <v>#REF!</v>
      </c>
      <c r="F39" s="8" t="e">
        <f>+#REF!/7000</f>
        <v>#REF!</v>
      </c>
      <c r="G39" s="32" t="e">
        <f>+#REF!/7000</f>
        <v>#REF!</v>
      </c>
      <c r="H39" s="9" t="e">
        <f t="shared" si="0"/>
        <v>#REF!</v>
      </c>
    </row>
    <row r="40" spans="2:10" s="4" customFormat="1" hidden="1" x14ac:dyDescent="0.25">
      <c r="B40" s="13">
        <v>1</v>
      </c>
      <c r="C40" s="13">
        <v>200</v>
      </c>
      <c r="D40" s="14" t="s">
        <v>8</v>
      </c>
      <c r="E40" s="15" t="e">
        <f>+#REF!/7000</f>
        <v>#REF!</v>
      </c>
      <c r="F40" s="15" t="e">
        <f>+#REF!/7000</f>
        <v>#REF!</v>
      </c>
      <c r="G40" s="30">
        <v>3311260.6668571429</v>
      </c>
      <c r="H40" s="16" t="e">
        <f t="shared" si="0"/>
        <v>#REF!</v>
      </c>
      <c r="J40" s="1"/>
    </row>
    <row r="41" spans="2:10" hidden="1" x14ac:dyDescent="0.25">
      <c r="B41" s="6">
        <v>2</v>
      </c>
      <c r="C41" s="6">
        <v>210</v>
      </c>
      <c r="D41" s="7" t="s">
        <v>44</v>
      </c>
      <c r="E41" s="8" t="e">
        <f>+#REF!/7000</f>
        <v>#REF!</v>
      </c>
      <c r="F41" s="8" t="e">
        <f>+#REF!/7000</f>
        <v>#REF!</v>
      </c>
      <c r="G41" s="32" t="e">
        <f>+#REF!/7000</f>
        <v>#REF!</v>
      </c>
      <c r="H41" s="9" t="e">
        <f t="shared" si="0"/>
        <v>#REF!</v>
      </c>
    </row>
    <row r="42" spans="2:10" hidden="1" x14ac:dyDescent="0.25">
      <c r="B42" s="6">
        <v>2</v>
      </c>
      <c r="C42" s="6">
        <v>220</v>
      </c>
      <c r="D42" s="7" t="s">
        <v>45</v>
      </c>
      <c r="E42" s="8" t="e">
        <f>+#REF!/7000</f>
        <v>#REF!</v>
      </c>
      <c r="F42" s="55" t="e">
        <f>+#REF!/7000</f>
        <v>#REF!</v>
      </c>
      <c r="G42" s="32" t="e">
        <f>+#REF!/7000</f>
        <v>#REF!</v>
      </c>
      <c r="H42" s="9" t="e">
        <f t="shared" si="0"/>
        <v>#REF!</v>
      </c>
    </row>
    <row r="43" spans="2:10" hidden="1" x14ac:dyDescent="0.25">
      <c r="B43" s="6">
        <v>2</v>
      </c>
      <c r="C43" s="6">
        <v>230</v>
      </c>
      <c r="D43" s="7" t="s">
        <v>46</v>
      </c>
      <c r="E43" s="8" t="e">
        <f>+#REF!/7000</f>
        <v>#REF!</v>
      </c>
      <c r="F43" s="8" t="e">
        <f>+#REF!/7000</f>
        <v>#REF!</v>
      </c>
      <c r="G43" s="32" t="e">
        <f>+#REF!/7000</f>
        <v>#REF!</v>
      </c>
      <c r="H43" s="9" t="e">
        <f t="shared" si="0"/>
        <v>#REF!</v>
      </c>
    </row>
    <row r="44" spans="2:10" ht="30" hidden="1" x14ac:dyDescent="0.25">
      <c r="B44" s="6">
        <v>2</v>
      </c>
      <c r="C44" s="6">
        <v>240</v>
      </c>
      <c r="D44" s="10" t="s">
        <v>47</v>
      </c>
      <c r="E44" s="8" t="e">
        <f>+#REF!/7000</f>
        <v>#REF!</v>
      </c>
      <c r="F44" s="55" t="e">
        <f>+#REF!/7000</f>
        <v>#REF!</v>
      </c>
      <c r="G44" s="32" t="e">
        <f>+#REF!/7000</f>
        <v>#REF!</v>
      </c>
      <c r="H44" s="9" t="e">
        <f t="shared" si="0"/>
        <v>#REF!</v>
      </c>
    </row>
    <row r="45" spans="2:10" hidden="1" x14ac:dyDescent="0.25">
      <c r="B45" s="6">
        <v>2</v>
      </c>
      <c r="C45" s="6">
        <v>250</v>
      </c>
      <c r="D45" s="7" t="s">
        <v>48</v>
      </c>
      <c r="E45" s="8" t="e">
        <f>+#REF!/7000</f>
        <v>#REF!</v>
      </c>
      <c r="F45" s="8" t="e">
        <f>+#REF!/7000</f>
        <v>#REF!</v>
      </c>
      <c r="G45" s="32" t="e">
        <f>+#REF!/7000</f>
        <v>#REF!</v>
      </c>
      <c r="H45" s="9" t="e">
        <f t="shared" si="0"/>
        <v>#REF!</v>
      </c>
    </row>
    <row r="46" spans="2:10" hidden="1" x14ac:dyDescent="0.25">
      <c r="B46" s="6">
        <v>2</v>
      </c>
      <c r="C46" s="6">
        <v>260</v>
      </c>
      <c r="D46" s="7" t="s">
        <v>49</v>
      </c>
      <c r="E46" s="8" t="e">
        <f>+#REF!/7000</f>
        <v>#REF!</v>
      </c>
      <c r="F46" s="8" t="e">
        <f>+#REF!/7000</f>
        <v>#REF!</v>
      </c>
      <c r="G46" s="32" t="e">
        <f>+#REF!/7000</f>
        <v>#REF!</v>
      </c>
      <c r="H46" s="9" t="e">
        <f t="shared" si="0"/>
        <v>#REF!</v>
      </c>
    </row>
    <row r="47" spans="2:10" s="4" customFormat="1" hidden="1" x14ac:dyDescent="0.25">
      <c r="B47" s="13">
        <v>1</v>
      </c>
      <c r="C47" s="13">
        <v>300</v>
      </c>
      <c r="D47" s="17" t="s">
        <v>9</v>
      </c>
      <c r="E47" s="15" t="e">
        <f>+#REF!/7000</f>
        <v>#REF!</v>
      </c>
      <c r="F47" s="15" t="e">
        <f>+#REF!/7000</f>
        <v>#REF!</v>
      </c>
      <c r="G47" s="30" t="e">
        <f>+#REF!/7000</f>
        <v>#REF!</v>
      </c>
      <c r="H47" s="16" t="e">
        <f t="shared" si="0"/>
        <v>#REF!</v>
      </c>
      <c r="J47" s="1"/>
    </row>
    <row r="48" spans="2:10" hidden="1" x14ac:dyDescent="0.25">
      <c r="B48" s="6">
        <v>2</v>
      </c>
      <c r="C48" s="6">
        <v>320</v>
      </c>
      <c r="D48" s="7" t="s">
        <v>38</v>
      </c>
      <c r="E48" s="8" t="e">
        <f>+#REF!/7000</f>
        <v>#REF!</v>
      </c>
      <c r="F48" s="55" t="e">
        <f>+#REF!/7000</f>
        <v>#REF!</v>
      </c>
      <c r="G48" s="33" t="e">
        <f>+#REF!/7000</f>
        <v>#REF!</v>
      </c>
      <c r="H48" s="5" t="e">
        <f t="shared" si="0"/>
        <v>#REF!</v>
      </c>
    </row>
    <row r="49" spans="2:10" hidden="1" x14ac:dyDescent="0.25">
      <c r="B49" s="6">
        <v>2</v>
      </c>
      <c r="C49" s="6">
        <v>330</v>
      </c>
      <c r="D49" s="7" t="s">
        <v>39</v>
      </c>
      <c r="E49" s="8" t="e">
        <f>+#REF!/7000</f>
        <v>#REF!</v>
      </c>
      <c r="F49" s="8" t="e">
        <f>+#REF!/7000</f>
        <v>#REF!</v>
      </c>
      <c r="G49" s="33" t="e">
        <f>+#REF!/7000</f>
        <v>#REF!</v>
      </c>
      <c r="H49" s="5" t="e">
        <f t="shared" si="0"/>
        <v>#REF!</v>
      </c>
    </row>
    <row r="50" spans="2:10" hidden="1" x14ac:dyDescent="0.25">
      <c r="B50" s="6">
        <v>2</v>
      </c>
      <c r="C50" s="6">
        <v>340</v>
      </c>
      <c r="D50" s="7" t="s">
        <v>40</v>
      </c>
      <c r="E50" s="8" t="e">
        <f>+#REF!/7000</f>
        <v>#REF!</v>
      </c>
      <c r="F50" s="8" t="e">
        <f>+#REF!/7000</f>
        <v>#REF!</v>
      </c>
      <c r="G50" s="33" t="e">
        <f>+#REF!/7000</f>
        <v>#REF!</v>
      </c>
      <c r="H50" s="5" t="e">
        <f>+F50/E50</f>
        <v>#REF!</v>
      </c>
    </row>
    <row r="51" spans="2:10" hidden="1" x14ac:dyDescent="0.25">
      <c r="B51" s="6">
        <v>2</v>
      </c>
      <c r="C51" s="6">
        <v>350</v>
      </c>
      <c r="D51" s="7" t="s">
        <v>41</v>
      </c>
      <c r="E51" s="8" t="e">
        <f>+#REF!/7000</f>
        <v>#REF!</v>
      </c>
      <c r="F51" s="55" t="e">
        <f>+#REF!/7000</f>
        <v>#REF!</v>
      </c>
      <c r="G51" s="33" t="e">
        <f>+#REF!/7000</f>
        <v>#REF!</v>
      </c>
      <c r="H51" s="5" t="e">
        <f>+F51/E51</f>
        <v>#REF!</v>
      </c>
    </row>
    <row r="52" spans="2:10" hidden="1" x14ac:dyDescent="0.25">
      <c r="B52" s="6">
        <v>2</v>
      </c>
      <c r="C52" s="6">
        <v>360</v>
      </c>
      <c r="D52" s="7" t="s">
        <v>42</v>
      </c>
      <c r="E52" s="8" t="e">
        <f>+#REF!/7000</f>
        <v>#REF!</v>
      </c>
      <c r="F52" s="8" t="e">
        <f>+#REF!/7000</f>
        <v>#REF!</v>
      </c>
      <c r="G52" s="33" t="e">
        <f>+#REF!/7000</f>
        <v>#REF!</v>
      </c>
      <c r="H52" s="5" t="e">
        <f t="shared" si="0"/>
        <v>#REF!</v>
      </c>
    </row>
    <row r="53" spans="2:10" hidden="1" x14ac:dyDescent="0.25">
      <c r="B53" s="6">
        <v>2</v>
      </c>
      <c r="C53" s="6">
        <v>390</v>
      </c>
      <c r="D53" s="7" t="s">
        <v>43</v>
      </c>
      <c r="E53" s="8" t="e">
        <f>+#REF!/7000</f>
        <v>#REF!</v>
      </c>
      <c r="F53" s="55" t="e">
        <f>+#REF!/7000</f>
        <v>#REF!</v>
      </c>
      <c r="G53" s="33" t="e">
        <f>+#REF!/7000</f>
        <v>#REF!</v>
      </c>
      <c r="H53" s="5" t="e">
        <f t="shared" si="0"/>
        <v>#REF!</v>
      </c>
    </row>
    <row r="54" spans="2:10" s="4" customFormat="1" hidden="1" x14ac:dyDescent="0.25">
      <c r="B54" s="13">
        <v>1</v>
      </c>
      <c r="C54" s="13">
        <v>500</v>
      </c>
      <c r="D54" s="14" t="s">
        <v>10</v>
      </c>
      <c r="E54" s="15" t="e">
        <f>+#REF!/7000</f>
        <v>#REF!</v>
      </c>
      <c r="F54" s="15" t="e">
        <f>+#REF!/7000</f>
        <v>#REF!</v>
      </c>
      <c r="G54" s="30" t="e">
        <f>+#REF!/7000</f>
        <v>#REF!</v>
      </c>
      <c r="H54" s="16" t="e">
        <f t="shared" si="0"/>
        <v>#REF!</v>
      </c>
      <c r="J54" s="1"/>
    </row>
    <row r="55" spans="2:10" ht="30" hidden="1" x14ac:dyDescent="0.25">
      <c r="B55" s="6">
        <v>2</v>
      </c>
      <c r="C55" s="6">
        <v>530</v>
      </c>
      <c r="D55" s="10" t="s">
        <v>36</v>
      </c>
      <c r="E55" s="8" t="e">
        <f>+#REF!/7000</f>
        <v>#REF!</v>
      </c>
      <c r="F55" s="8" t="e">
        <f>+#REF!/7000</f>
        <v>#REF!</v>
      </c>
      <c r="G55" s="33" t="e">
        <f>+#REF!/7000</f>
        <v>#REF!</v>
      </c>
      <c r="H55" s="5" t="e">
        <f t="shared" si="0"/>
        <v>#REF!</v>
      </c>
    </row>
    <row r="56" spans="2:10" ht="30" hidden="1" x14ac:dyDescent="0.25">
      <c r="B56" s="6">
        <v>2</v>
      </c>
      <c r="C56" s="6">
        <v>540</v>
      </c>
      <c r="D56" s="10" t="s">
        <v>37</v>
      </c>
      <c r="E56" s="8" t="e">
        <f>+#REF!/7000</f>
        <v>#REF!</v>
      </c>
      <c r="F56" s="8" t="e">
        <f>+#REF!/7000</f>
        <v>#REF!</v>
      </c>
      <c r="G56" s="33" t="e">
        <f>+#REF!/7000</f>
        <v>#REF!</v>
      </c>
      <c r="H56" s="5" t="e">
        <f t="shared" si="0"/>
        <v>#REF!</v>
      </c>
    </row>
    <row r="57" spans="2:10" hidden="1" x14ac:dyDescent="0.25">
      <c r="B57" s="6">
        <v>2</v>
      </c>
      <c r="C57" s="6">
        <v>570</v>
      </c>
      <c r="D57" s="7" t="s">
        <v>35</v>
      </c>
      <c r="E57" s="8" t="e">
        <f>+#REF!/7000</f>
        <v>#REF!</v>
      </c>
      <c r="F57" s="8" t="e">
        <f>+#REF!/7000</f>
        <v>#REF!</v>
      </c>
      <c r="G57" s="33" t="e">
        <f>+#REF!/7000</f>
        <v>#REF!</v>
      </c>
      <c r="H57" s="5" t="e">
        <f t="shared" si="0"/>
        <v>#REF!</v>
      </c>
    </row>
    <row r="58" spans="2:10" s="4" customFormat="1" hidden="1" x14ac:dyDescent="0.25">
      <c r="B58" s="18">
        <v>1</v>
      </c>
      <c r="C58" s="18">
        <v>800</v>
      </c>
      <c r="D58" s="19" t="s">
        <v>11</v>
      </c>
      <c r="E58" s="20" t="e">
        <f>+#REF!/7000</f>
        <v>#REF!</v>
      </c>
      <c r="F58" s="20" t="e">
        <f>+#REF!/7000</f>
        <v>#REF!</v>
      </c>
      <c r="G58" s="34" t="e">
        <f>+#REF!/7000</f>
        <v>#REF!</v>
      </c>
      <c r="H58" s="21" t="e">
        <f t="shared" si="0"/>
        <v>#REF!</v>
      </c>
      <c r="J58" s="1"/>
    </row>
    <row r="59" spans="2:10" ht="30" hidden="1" x14ac:dyDescent="0.25">
      <c r="B59" s="6">
        <v>2</v>
      </c>
      <c r="C59" s="6">
        <v>840</v>
      </c>
      <c r="D59" s="11" t="s">
        <v>54</v>
      </c>
      <c r="E59" s="8" t="e">
        <f>+#REF!/7000</f>
        <v>#REF!</v>
      </c>
      <c r="F59" s="8" t="e">
        <f>+#REF!/7000</f>
        <v>#REF!</v>
      </c>
      <c r="G59" s="33" t="e">
        <f>+#REF!/7000</f>
        <v>#REF!</v>
      </c>
      <c r="H59" s="5" t="e">
        <f t="shared" si="0"/>
        <v>#REF!</v>
      </c>
    </row>
    <row r="60" spans="2:10" ht="30" hidden="1" x14ac:dyDescent="0.25">
      <c r="B60" s="6">
        <v>2</v>
      </c>
      <c r="C60" s="6">
        <v>850</v>
      </c>
      <c r="D60" s="11" t="s">
        <v>55</v>
      </c>
      <c r="E60" s="8" t="e">
        <f>+#REF!/7000</f>
        <v>#REF!</v>
      </c>
      <c r="F60" s="8" t="e">
        <f>+#REF!/7000</f>
        <v>#REF!</v>
      </c>
      <c r="G60" s="33" t="e">
        <f>+#REF!/7000</f>
        <v>#REF!</v>
      </c>
      <c r="H60" s="5" t="e">
        <f t="shared" si="0"/>
        <v>#REF!</v>
      </c>
    </row>
    <row r="61" spans="2:10" s="4" customFormat="1" hidden="1" x14ac:dyDescent="0.25">
      <c r="B61" s="13">
        <v>1</v>
      </c>
      <c r="C61" s="13">
        <v>900</v>
      </c>
      <c r="D61" s="14" t="s">
        <v>12</v>
      </c>
      <c r="E61" s="15" t="e">
        <f>+#REF!/7000</f>
        <v>#REF!</v>
      </c>
      <c r="F61" s="56" t="e">
        <f>+#REF!/7000</f>
        <v>#REF!</v>
      </c>
      <c r="G61" s="30" t="e">
        <f>+#REF!/7000</f>
        <v>#REF!</v>
      </c>
      <c r="H61" s="16" t="e">
        <f t="shared" si="0"/>
        <v>#REF!</v>
      </c>
      <c r="J61" s="1"/>
    </row>
    <row r="62" spans="2:10" ht="30" hidden="1" x14ac:dyDescent="0.25">
      <c r="B62" s="6">
        <v>2</v>
      </c>
      <c r="C62" s="6">
        <v>910</v>
      </c>
      <c r="D62" s="11" t="s">
        <v>34</v>
      </c>
      <c r="E62" s="8" t="e">
        <f>+#REF!/7000</f>
        <v>#REF!</v>
      </c>
      <c r="F62" s="55" t="e">
        <f>+#REF!/7000</f>
        <v>#REF!</v>
      </c>
      <c r="G62" s="33" t="e">
        <f>+#REF!/7000</f>
        <v>#REF!</v>
      </c>
      <c r="H62" s="5" t="e">
        <f t="shared" si="0"/>
        <v>#REF!</v>
      </c>
    </row>
    <row r="63" spans="2:10" hidden="1" x14ac:dyDescent="0.25"/>
  </sheetData>
  <autoFilter ref="A34:H62">
    <filterColumn colId="1">
      <filters>
        <filter val="1"/>
      </filters>
    </filterColumn>
  </autoFilter>
  <mergeCells count="5">
    <mergeCell ref="C11:J11"/>
    <mergeCell ref="C7:J7"/>
    <mergeCell ref="C8:J8"/>
    <mergeCell ref="C9:J9"/>
    <mergeCell ref="C10:J10"/>
  </mergeCells>
  <pageMargins left="0.5118110236220472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N67"/>
  <sheetViews>
    <sheetView showGridLines="0" tabSelected="1" topLeftCell="A34" zoomScale="90" zoomScaleNormal="90" workbookViewId="0">
      <selection activeCell="C1" sqref="C1:J64"/>
    </sheetView>
  </sheetViews>
  <sheetFormatPr baseColWidth="10" defaultRowHeight="16.5" customHeight="1" x14ac:dyDescent="0.25"/>
  <cols>
    <col min="1" max="1" width="7.28515625" style="1" customWidth="1"/>
    <col min="2" max="2" width="5" style="3" customWidth="1"/>
    <col min="3" max="3" width="9.85546875" style="3" customWidth="1"/>
    <col min="4" max="4" width="49.28515625" style="1" bestFit="1" customWidth="1"/>
    <col min="5" max="5" width="19" style="1" customWidth="1"/>
    <col min="6" max="6" width="17.5703125" style="1" customWidth="1"/>
    <col min="7" max="7" width="12.28515625" style="1" customWidth="1"/>
    <col min="8" max="8" width="18.85546875" style="1" customWidth="1"/>
    <col min="9" max="9" width="15.42578125" style="1" customWidth="1"/>
    <col min="10" max="10" width="15" style="1" customWidth="1"/>
    <col min="11" max="11" width="19.28515625" style="1" customWidth="1"/>
    <col min="12" max="12" width="15.7109375" style="115" bestFit="1" customWidth="1"/>
    <col min="13" max="13" width="22.5703125" style="1" customWidth="1"/>
    <col min="14" max="16384" width="11.42578125" style="1"/>
  </cols>
  <sheetData>
    <row r="1" spans="3:11" ht="16.5" customHeight="1" x14ac:dyDescent="0.25">
      <c r="C1" s="164" t="s">
        <v>125</v>
      </c>
    </row>
    <row r="2" spans="3:11" ht="16.5" customHeight="1" x14ac:dyDescent="0.25">
      <c r="C2" s="165" t="s">
        <v>127</v>
      </c>
    </row>
    <row r="3" spans="3:11" ht="16.5" customHeight="1" x14ac:dyDescent="0.35">
      <c r="C3" s="167"/>
      <c r="D3" s="167"/>
      <c r="E3" s="167"/>
      <c r="F3" s="167"/>
      <c r="G3" s="167"/>
      <c r="H3" s="167"/>
      <c r="I3" s="167"/>
    </row>
    <row r="4" spans="3:11" ht="16.5" customHeight="1" x14ac:dyDescent="0.25">
      <c r="C4" s="166" t="s">
        <v>113</v>
      </c>
      <c r="D4" s="166"/>
      <c r="E4" s="166"/>
      <c r="F4" s="166"/>
      <c r="G4" s="166"/>
      <c r="H4" s="166"/>
      <c r="I4" s="166"/>
      <c r="J4" s="166"/>
    </row>
    <row r="5" spans="3:11" ht="16.5" customHeight="1" x14ac:dyDescent="0.25">
      <c r="C5" s="166" t="s">
        <v>114</v>
      </c>
      <c r="D5" s="166"/>
      <c r="E5" s="166"/>
      <c r="F5" s="166"/>
      <c r="G5" s="166"/>
      <c r="H5" s="166"/>
      <c r="I5" s="166"/>
      <c r="J5" s="166"/>
    </row>
    <row r="6" spans="3:11" ht="16.5" customHeight="1" x14ac:dyDescent="0.25">
      <c r="C6" s="166" t="s">
        <v>115</v>
      </c>
      <c r="D6" s="166"/>
      <c r="E6" s="166"/>
      <c r="F6" s="166"/>
      <c r="G6" s="166"/>
      <c r="H6" s="166"/>
      <c r="I6" s="166"/>
      <c r="J6" s="166"/>
    </row>
    <row r="7" spans="3:11" ht="16.5" customHeight="1" x14ac:dyDescent="0.25">
      <c r="C7" s="166" t="s">
        <v>121</v>
      </c>
      <c r="D7" s="166"/>
      <c r="E7" s="166"/>
      <c r="F7" s="166"/>
      <c r="G7" s="166"/>
      <c r="H7" s="166"/>
      <c r="I7" s="166"/>
      <c r="J7" s="166"/>
    </row>
    <row r="8" spans="3:11" ht="32.25" customHeight="1" x14ac:dyDescent="0.25"/>
    <row r="9" spans="3:11" ht="54.75" customHeight="1" x14ac:dyDescent="0.25">
      <c r="C9" s="42" t="s">
        <v>1</v>
      </c>
      <c r="D9" s="42" t="s">
        <v>69</v>
      </c>
      <c r="E9" s="58" t="s">
        <v>112</v>
      </c>
      <c r="F9" s="42" t="s">
        <v>101</v>
      </c>
      <c r="G9" s="42" t="s">
        <v>110</v>
      </c>
      <c r="H9" s="42" t="s">
        <v>108</v>
      </c>
      <c r="I9" s="58" t="s">
        <v>109</v>
      </c>
      <c r="J9" s="58" t="s">
        <v>111</v>
      </c>
    </row>
    <row r="10" spans="3:11" ht="16.5" customHeight="1" x14ac:dyDescent="0.25">
      <c r="C10" s="139">
        <v>100</v>
      </c>
      <c r="D10" s="120" t="s">
        <v>7</v>
      </c>
      <c r="E10" s="140">
        <v>15433776</v>
      </c>
      <c r="F10" s="141">
        <f>F11+F12+F13+F14+F15+F16+F17</f>
        <v>5048088.4437142853</v>
      </c>
      <c r="G10" s="141">
        <f>SUM(F10/E52*100)</f>
        <v>11.739740566777408</v>
      </c>
      <c r="H10" s="138">
        <f>SUM(H11:H17)</f>
        <v>2206830.4724157145</v>
      </c>
      <c r="I10" s="150">
        <f>H10*100/E52</f>
        <v>5.1321638893388712</v>
      </c>
      <c r="J10" s="150">
        <f>SUM(J11:J17)</f>
        <v>16.87190445611628</v>
      </c>
      <c r="K10" s="153"/>
    </row>
    <row r="11" spans="3:11" ht="16.5" customHeight="1" x14ac:dyDescent="0.25">
      <c r="C11" s="50">
        <v>123</v>
      </c>
      <c r="D11" s="44" t="s">
        <v>70</v>
      </c>
      <c r="E11" s="126"/>
      <c r="F11" s="127">
        <f>582861425/7000</f>
        <v>83265.917857142864</v>
      </c>
      <c r="G11" s="163">
        <f>F11*100/E52</f>
        <v>0.19364166943521596</v>
      </c>
      <c r="H11" s="125">
        <f>SUM([1]RESUMEN!$J$8)</f>
        <v>41781.451428571432</v>
      </c>
      <c r="I11" s="156">
        <f t="shared" ref="I11:I17" si="0">H11*100/43000000</f>
        <v>9.7166166112956823E-2</v>
      </c>
      <c r="J11" s="153">
        <f>SUM(G11+I11)</f>
        <v>0.2908078355481728</v>
      </c>
    </row>
    <row r="12" spans="3:11" ht="16.5" customHeight="1" x14ac:dyDescent="0.25">
      <c r="C12" s="50">
        <v>125</v>
      </c>
      <c r="D12" s="44" t="s">
        <v>71</v>
      </c>
      <c r="E12" s="126"/>
      <c r="F12" s="127">
        <f>463772803/7000</f>
        <v>66253.257571428578</v>
      </c>
      <c r="G12" s="163">
        <f t="shared" ref="G12:G17" si="1">F12*100/43000000</f>
        <v>0.15407734318936878</v>
      </c>
      <c r="H12" s="125">
        <f>SUM([1]RESUMEN!$J$9)</f>
        <v>81985.682285714283</v>
      </c>
      <c r="I12" s="156">
        <f t="shared" si="0"/>
        <v>0.19066437740863787</v>
      </c>
      <c r="J12" s="153">
        <f t="shared" ref="J12:J17" si="2">SUM(G12+I12)</f>
        <v>0.34474172059800667</v>
      </c>
    </row>
    <row r="13" spans="3:11" ht="16.5" customHeight="1" x14ac:dyDescent="0.25">
      <c r="C13" s="50">
        <v>137</v>
      </c>
      <c r="D13" s="44" t="s">
        <v>72</v>
      </c>
      <c r="E13" s="126"/>
      <c r="F13" s="127">
        <f>103469997/7000</f>
        <v>14781.428142857143</v>
      </c>
      <c r="G13" s="163">
        <f t="shared" si="1"/>
        <v>3.4375414285714286E-2</v>
      </c>
      <c r="H13" s="125">
        <f>SUM(5000)</f>
        <v>5000</v>
      </c>
      <c r="I13" s="156">
        <f t="shared" si="0"/>
        <v>1.1627906976744186E-2</v>
      </c>
      <c r="J13" s="153">
        <f t="shared" si="2"/>
        <v>4.6003321262458471E-2</v>
      </c>
    </row>
    <row r="14" spans="3:11" ht="16.5" customHeight="1" x14ac:dyDescent="0.25">
      <c r="C14" s="50">
        <v>141</v>
      </c>
      <c r="D14" s="44" t="s">
        <v>73</v>
      </c>
      <c r="E14" s="126"/>
      <c r="F14" s="127">
        <f>22313540103/7000</f>
        <v>3187648.5861428571</v>
      </c>
      <c r="G14" s="163">
        <f t="shared" si="1"/>
        <v>7.4131362468438535</v>
      </c>
      <c r="H14" s="125">
        <f>SUM([1]RESUMEN!$J$10)</f>
        <v>1713176.2144285715</v>
      </c>
      <c r="I14" s="157">
        <f t="shared" si="0"/>
        <v>3.9841307312292358</v>
      </c>
      <c r="J14" s="153">
        <f t="shared" si="2"/>
        <v>11.397266978073089</v>
      </c>
    </row>
    <row r="15" spans="3:11" ht="16.5" customHeight="1" x14ac:dyDescent="0.25">
      <c r="C15" s="50">
        <v>144</v>
      </c>
      <c r="D15" s="44" t="s">
        <v>74</v>
      </c>
      <c r="E15" s="126"/>
      <c r="F15" s="127">
        <f>3300338088/7000</f>
        <v>471476.86971428571</v>
      </c>
      <c r="G15" s="163">
        <f t="shared" si="1"/>
        <v>1.0964578365448505</v>
      </c>
      <c r="H15" s="125">
        <f>SUM([1]RESUMEN!$J$11)</f>
        <v>210851.70457142859</v>
      </c>
      <c r="I15" s="157">
        <f t="shared" si="0"/>
        <v>0.49035280132890369</v>
      </c>
      <c r="J15" s="153">
        <f t="shared" si="2"/>
        <v>1.5868106378737541</v>
      </c>
    </row>
    <row r="16" spans="3:11" ht="16.5" customHeight="1" x14ac:dyDescent="0.25">
      <c r="C16" s="50">
        <v>145</v>
      </c>
      <c r="D16" s="44" t="s">
        <v>75</v>
      </c>
      <c r="E16" s="126"/>
      <c r="F16" s="127">
        <f>5673729708/7000</f>
        <v>810532.81542857143</v>
      </c>
      <c r="G16" s="163">
        <f t="shared" si="1"/>
        <v>1.8849600358803986</v>
      </c>
      <c r="H16" s="125">
        <f>SUM([1]RESUMEN!$J$12)</f>
        <v>110391.61012999999</v>
      </c>
      <c r="I16" s="157">
        <f t="shared" si="0"/>
        <v>0.25672467472093019</v>
      </c>
      <c r="J16" s="153">
        <f t="shared" si="2"/>
        <v>2.1416847106013286</v>
      </c>
    </row>
    <row r="17" spans="3:11" ht="16.5" customHeight="1" x14ac:dyDescent="0.25">
      <c r="C17" s="50">
        <v>148</v>
      </c>
      <c r="D17" s="44" t="s">
        <v>76</v>
      </c>
      <c r="E17" s="126"/>
      <c r="F17" s="127">
        <f>2898906982/7000</f>
        <v>414129.56885714288</v>
      </c>
      <c r="G17" s="163">
        <f t="shared" si="1"/>
        <v>0.96309202059800658</v>
      </c>
      <c r="H17" s="125">
        <f>SUM([1]RESUMEN!$J$13)</f>
        <v>43643.809571428574</v>
      </c>
      <c r="I17" s="157">
        <f t="shared" si="0"/>
        <v>0.10149723156146181</v>
      </c>
      <c r="J17" s="153">
        <f t="shared" si="2"/>
        <v>1.0645892521594684</v>
      </c>
    </row>
    <row r="18" spans="3:11" ht="16.5" customHeight="1" x14ac:dyDescent="0.25">
      <c r="C18" s="139">
        <v>200</v>
      </c>
      <c r="D18" s="120" t="s">
        <v>8</v>
      </c>
      <c r="E18" s="140">
        <v>10213271</v>
      </c>
      <c r="F18" s="141">
        <f>F19+F21+F22+F24+F25+F26+F28+F29+F30</f>
        <v>3906158.2831428577</v>
      </c>
      <c r="G18" s="141">
        <f>F18*100/E52</f>
        <v>9.084089030564785</v>
      </c>
      <c r="H18" s="138">
        <f>SUM(H19:H29)</f>
        <v>2837704.1185714286</v>
      </c>
      <c r="I18" s="150">
        <f>H18*100/E52</f>
        <v>6.5993119036544856</v>
      </c>
      <c r="J18" s="150">
        <f>SUM(G18+I18)</f>
        <v>15.683400934219272</v>
      </c>
    </row>
    <row r="19" spans="3:11" ht="16.5" customHeight="1" x14ac:dyDescent="0.25">
      <c r="C19" s="109">
        <v>211</v>
      </c>
      <c r="D19" s="110" t="s">
        <v>122</v>
      </c>
      <c r="E19" s="128"/>
      <c r="F19" s="129">
        <f>6109000/7000</f>
        <v>872.71428571428567</v>
      </c>
      <c r="G19" s="154">
        <f>F19*100/43000000</f>
        <v>2.0295681063122921E-3</v>
      </c>
      <c r="H19" s="130">
        <v>5503.71</v>
      </c>
      <c r="I19" s="158">
        <f>H19*100/43000000</f>
        <v>1.2799325581395349E-2</v>
      </c>
      <c r="J19" s="115">
        <f>SUM(G19+I19)</f>
        <v>1.482889368770764E-2</v>
      </c>
      <c r="K19" s="155"/>
    </row>
    <row r="20" spans="3:11" ht="16.5" customHeight="1" x14ac:dyDescent="0.25">
      <c r="C20" s="109">
        <v>221</v>
      </c>
      <c r="D20" s="110" t="s">
        <v>102</v>
      </c>
      <c r="E20" s="128"/>
      <c r="F20" s="129"/>
      <c r="G20" s="129"/>
      <c r="H20" s="130">
        <v>399914.29</v>
      </c>
      <c r="I20" s="158">
        <f>H20*100/43000000</f>
        <v>0.93003323255813952</v>
      </c>
      <c r="J20" s="115">
        <f t="shared" ref="J20:J29" si="3">SUM(G20+I20)</f>
        <v>0.93003323255813952</v>
      </c>
    </row>
    <row r="21" spans="3:11" ht="16.5" customHeight="1" x14ac:dyDescent="0.25">
      <c r="C21" s="109">
        <v>232</v>
      </c>
      <c r="D21" s="110" t="s">
        <v>77</v>
      </c>
      <c r="E21" s="128"/>
      <c r="F21" s="129">
        <f>6412190705/7000</f>
        <v>916027.24357142858</v>
      </c>
      <c r="G21" s="129">
        <f>F21*100/43000000</f>
        <v>2.1302959152823924</v>
      </c>
      <c r="H21" s="130">
        <f>SUM(2280686110/7000)</f>
        <v>325812.3014285714</v>
      </c>
      <c r="I21" s="158">
        <f t="shared" ref="I21:I22" si="4">H21*100/43000000</f>
        <v>0.75770302657807309</v>
      </c>
      <c r="J21" s="115">
        <f t="shared" si="3"/>
        <v>2.8879989418604657</v>
      </c>
    </row>
    <row r="22" spans="3:11" ht="16.5" customHeight="1" x14ac:dyDescent="0.25">
      <c r="C22" s="109">
        <v>239</v>
      </c>
      <c r="D22" s="110" t="s">
        <v>78</v>
      </c>
      <c r="E22" s="128"/>
      <c r="F22" s="129">
        <f>3056348219/7000</f>
        <v>436621.17414285714</v>
      </c>
      <c r="G22" s="129">
        <f>F22*100/43000000</f>
        <v>1.0153980794019932</v>
      </c>
      <c r="H22" s="130">
        <f>SUM(1287280660/7000)</f>
        <v>183897.23714285714</v>
      </c>
      <c r="I22" s="158">
        <f t="shared" si="4"/>
        <v>0.42766799335548167</v>
      </c>
      <c r="J22" s="115">
        <f t="shared" si="3"/>
        <v>1.4430660727574749</v>
      </c>
    </row>
    <row r="23" spans="3:11" ht="16.5" customHeight="1" x14ac:dyDescent="0.25">
      <c r="C23" s="109">
        <v>242</v>
      </c>
      <c r="D23" s="110" t="s">
        <v>103</v>
      </c>
      <c r="E23" s="128"/>
      <c r="F23" s="129"/>
      <c r="G23" s="129"/>
      <c r="H23" s="130">
        <f>SUM(159944+4171.43)</f>
        <v>164115.43</v>
      </c>
      <c r="I23" s="158">
        <f>H23*100/43000000</f>
        <v>0.38166379069767442</v>
      </c>
      <c r="J23" s="115">
        <f t="shared" si="3"/>
        <v>0.38166379069767442</v>
      </c>
    </row>
    <row r="24" spans="3:11" ht="16.5" customHeight="1" x14ac:dyDescent="0.25">
      <c r="C24" s="109">
        <v>251</v>
      </c>
      <c r="D24" s="110" t="s">
        <v>79</v>
      </c>
      <c r="E24" s="128"/>
      <c r="F24" s="129">
        <f>1750048500/7000</f>
        <v>250006.92857142858</v>
      </c>
      <c r="G24" s="129">
        <f>F24*100/43000000</f>
        <v>0.58141146179401992</v>
      </c>
      <c r="H24" s="130"/>
      <c r="I24" s="111"/>
      <c r="J24" s="115">
        <f t="shared" si="3"/>
        <v>0.58141146179401992</v>
      </c>
    </row>
    <row r="25" spans="3:11" ht="16.5" customHeight="1" x14ac:dyDescent="0.25">
      <c r="C25" s="109">
        <v>253</v>
      </c>
      <c r="D25" s="110" t="s">
        <v>80</v>
      </c>
      <c r="E25" s="128"/>
      <c r="F25" s="129">
        <f>290302390/7000</f>
        <v>41471.769999999997</v>
      </c>
      <c r="G25" s="129">
        <f>F25*100/43000000</f>
        <v>9.6445976744186035E-2</v>
      </c>
      <c r="H25" s="130">
        <v>0</v>
      </c>
      <c r="I25" s="158">
        <f>H25*100/43000000</f>
        <v>0</v>
      </c>
      <c r="J25" s="115">
        <f t="shared" si="3"/>
        <v>9.6445976744186035E-2</v>
      </c>
    </row>
    <row r="26" spans="3:11" ht="16.5" customHeight="1" x14ac:dyDescent="0.25">
      <c r="C26" s="109">
        <v>262</v>
      </c>
      <c r="D26" s="110" t="s">
        <v>81</v>
      </c>
      <c r="E26" s="128"/>
      <c r="F26" s="129">
        <f>11094132000/7000</f>
        <v>1584876</v>
      </c>
      <c r="G26" s="129">
        <f>F26*100/43000000</f>
        <v>3.6857581395348835</v>
      </c>
      <c r="H26" s="130">
        <v>160092.44</v>
      </c>
      <c r="I26" s="158">
        <f>H26*100/43000000</f>
        <v>0.37230799999999997</v>
      </c>
      <c r="J26" s="115">
        <f t="shared" si="3"/>
        <v>4.0580661395348834</v>
      </c>
    </row>
    <row r="27" spans="3:11" ht="16.5" customHeight="1" x14ac:dyDescent="0.25">
      <c r="C27" s="109">
        <v>264</v>
      </c>
      <c r="D27" s="110" t="s">
        <v>104</v>
      </c>
      <c r="E27" s="128"/>
      <c r="F27" s="129"/>
      <c r="G27" s="129"/>
      <c r="H27" s="130">
        <v>16844.14</v>
      </c>
      <c r="I27" s="158">
        <f>H27*100/43000000</f>
        <v>3.9172418604651163E-2</v>
      </c>
      <c r="J27" s="115">
        <f t="shared" si="3"/>
        <v>3.9172418604651163E-2</v>
      </c>
    </row>
    <row r="28" spans="3:11" ht="16.5" customHeight="1" x14ac:dyDescent="0.25">
      <c r="C28" s="109">
        <v>265</v>
      </c>
      <c r="D28" s="110" t="s">
        <v>82</v>
      </c>
      <c r="E28" s="128"/>
      <c r="F28" s="129">
        <f>411000000/7000</f>
        <v>58714.285714285717</v>
      </c>
      <c r="G28" s="129">
        <f>F28*100/43000000</f>
        <v>0.13654485049833889</v>
      </c>
      <c r="H28" s="130">
        <v>1492426.36</v>
      </c>
      <c r="I28" s="158">
        <f>H28*100/43000000</f>
        <v>3.470758976744186</v>
      </c>
      <c r="J28" s="115">
        <f t="shared" si="3"/>
        <v>3.6073038272425251</v>
      </c>
    </row>
    <row r="29" spans="3:11" ht="16.5" customHeight="1" x14ac:dyDescent="0.25">
      <c r="C29" s="109">
        <v>266</v>
      </c>
      <c r="D29" s="110" t="s">
        <v>83</v>
      </c>
      <c r="E29" s="128"/>
      <c r="F29" s="129">
        <f>4292527168/7000</f>
        <v>613218.16685714282</v>
      </c>
      <c r="G29" s="129">
        <f>F29*100/43000000</f>
        <v>1.4260887601328902</v>
      </c>
      <c r="H29" s="130">
        <v>89098.21</v>
      </c>
      <c r="I29" s="158">
        <f>H29*100/43000000</f>
        <v>0.20720513953488373</v>
      </c>
      <c r="J29" s="115">
        <f t="shared" si="3"/>
        <v>1.6332938996677739</v>
      </c>
    </row>
    <row r="30" spans="3:11" ht="16.5" customHeight="1" x14ac:dyDescent="0.25">
      <c r="C30" s="109">
        <v>268</v>
      </c>
      <c r="D30" s="110" t="s">
        <v>84</v>
      </c>
      <c r="E30" s="128"/>
      <c r="F30" s="129">
        <f>30450000/7000</f>
        <v>4350</v>
      </c>
      <c r="G30" s="129">
        <f>F30*100/43000000</f>
        <v>1.0116279069767442E-2</v>
      </c>
      <c r="H30" s="130"/>
      <c r="I30" s="158"/>
    </row>
    <row r="31" spans="3:11" ht="16.5" customHeight="1" x14ac:dyDescent="0.25">
      <c r="C31" s="139">
        <v>300</v>
      </c>
      <c r="D31" s="120" t="s">
        <v>9</v>
      </c>
      <c r="E31" s="140">
        <v>2758597</v>
      </c>
      <c r="F31" s="141">
        <f>F32+F33+F34+F35+F38+F39</f>
        <v>2165491.4937142855</v>
      </c>
      <c r="G31" s="141">
        <f>F31*100/E52</f>
        <v>5.036026729568106</v>
      </c>
      <c r="H31" s="138">
        <f>SUM(H32:H39)</f>
        <v>341083.41000000003</v>
      </c>
      <c r="I31" s="150">
        <f>H31*100/E52</f>
        <v>0.79321723255813958</v>
      </c>
      <c r="J31" s="150">
        <f>SUM(J32:J38)</f>
        <v>5.7553901415282382</v>
      </c>
    </row>
    <row r="32" spans="3:11" ht="16.5" customHeight="1" x14ac:dyDescent="0.25">
      <c r="C32" s="109">
        <v>331</v>
      </c>
      <c r="D32" s="110" t="s">
        <v>86</v>
      </c>
      <c r="E32" s="128"/>
      <c r="F32" s="129">
        <f>340409317/7000</f>
        <v>48629.902428571426</v>
      </c>
      <c r="G32" s="129">
        <f>F32*100/43000000</f>
        <v>0.11309279634551493</v>
      </c>
      <c r="H32" s="130"/>
      <c r="I32" s="111"/>
      <c r="J32" s="121">
        <f>SUM(G32+I32)</f>
        <v>0.11309279634551493</v>
      </c>
    </row>
    <row r="33" spans="2:14" ht="16.5" customHeight="1" x14ac:dyDescent="0.25">
      <c r="C33" s="109">
        <v>334</v>
      </c>
      <c r="D33" s="110" t="s">
        <v>87</v>
      </c>
      <c r="E33" s="128"/>
      <c r="F33" s="129">
        <f>962575064/7000</f>
        <v>137510.72342857142</v>
      </c>
      <c r="G33" s="129">
        <f>F33*100/43000000</f>
        <v>0.31979238006644517</v>
      </c>
      <c r="H33" s="130">
        <v>57865.760000000002</v>
      </c>
      <c r="I33" s="158">
        <f>H33*100/43000000</f>
        <v>0.13457153488372092</v>
      </c>
      <c r="J33" s="121">
        <f t="shared" ref="J33:J38" si="5">SUM(G33+I33)</f>
        <v>0.45436391495016609</v>
      </c>
    </row>
    <row r="34" spans="2:14" ht="16.5" customHeight="1" x14ac:dyDescent="0.25">
      <c r="C34" s="109">
        <v>341</v>
      </c>
      <c r="D34" s="110" t="s">
        <v>88</v>
      </c>
      <c r="E34" s="128"/>
      <c r="F34" s="129">
        <f>151537225/7000</f>
        <v>21648.174999999999</v>
      </c>
      <c r="G34" s="129">
        <f>F34*100/43000000</f>
        <v>5.0344593023255814E-2</v>
      </c>
      <c r="H34" s="130"/>
      <c r="I34" s="158"/>
      <c r="J34" s="121">
        <f t="shared" si="5"/>
        <v>5.0344593023255814E-2</v>
      </c>
    </row>
    <row r="35" spans="2:14" ht="16.5" customHeight="1" x14ac:dyDescent="0.25">
      <c r="C35" s="109">
        <v>342</v>
      </c>
      <c r="D35" s="110" t="s">
        <v>89</v>
      </c>
      <c r="E35" s="128"/>
      <c r="F35" s="129">
        <f>6622118850/7000</f>
        <v>946016.97857142857</v>
      </c>
      <c r="G35" s="129">
        <f>F35*100/43000000</f>
        <v>2.2000394850498339</v>
      </c>
      <c r="H35" s="130">
        <f>SUM(79820.61+26985.64)</f>
        <v>106806.25</v>
      </c>
      <c r="I35" s="158">
        <f>H35*100/43000000</f>
        <v>0.24838662790697674</v>
      </c>
      <c r="J35" s="121">
        <f t="shared" si="5"/>
        <v>2.4484261129568106</v>
      </c>
    </row>
    <row r="36" spans="2:14" ht="16.5" customHeight="1" x14ac:dyDescent="0.25">
      <c r="C36" s="109">
        <v>343</v>
      </c>
      <c r="D36" s="110" t="s">
        <v>105</v>
      </c>
      <c r="E36" s="128"/>
      <c r="F36" s="129"/>
      <c r="G36" s="129"/>
      <c r="H36" s="130">
        <v>12982.83</v>
      </c>
      <c r="I36" s="158">
        <f>H36*100/43000000</f>
        <v>3.0192627906976743E-2</v>
      </c>
      <c r="J36" s="121">
        <f t="shared" si="5"/>
        <v>3.0192627906976743E-2</v>
      </c>
    </row>
    <row r="37" spans="2:14" ht="16.5" customHeight="1" x14ac:dyDescent="0.25">
      <c r="C37" s="109">
        <v>358</v>
      </c>
      <c r="D37" s="110" t="s">
        <v>106</v>
      </c>
      <c r="E37" s="128"/>
      <c r="F37" s="129"/>
      <c r="G37" s="129"/>
      <c r="H37" s="130">
        <v>20571.43</v>
      </c>
      <c r="I37" s="158">
        <f>H37*100/43000000</f>
        <v>4.7840534883720927E-2</v>
      </c>
      <c r="J37" s="121">
        <f t="shared" si="5"/>
        <v>4.7840534883720927E-2</v>
      </c>
    </row>
    <row r="38" spans="2:14" s="112" customFormat="1" ht="16.5" customHeight="1" x14ac:dyDescent="0.25">
      <c r="B38" s="113"/>
      <c r="C38" s="109">
        <v>361</v>
      </c>
      <c r="D38" s="110" t="s">
        <v>90</v>
      </c>
      <c r="E38" s="128"/>
      <c r="F38" s="129">
        <f>6859500000/7000</f>
        <v>979928.57142857148</v>
      </c>
      <c r="G38" s="129">
        <f>F38*100/43000000</f>
        <v>2.2789036544850498</v>
      </c>
      <c r="H38" s="130">
        <v>142857.14000000001</v>
      </c>
      <c r="I38" s="158">
        <f>H38*100/43000000</f>
        <v>0.33222590697674426</v>
      </c>
      <c r="J38" s="121">
        <f t="shared" si="5"/>
        <v>2.611129561461794</v>
      </c>
      <c r="L38" s="116"/>
    </row>
    <row r="39" spans="2:14" s="112" customFormat="1" ht="16.5" customHeight="1" x14ac:dyDescent="0.25">
      <c r="B39" s="113"/>
      <c r="C39" s="109">
        <v>396</v>
      </c>
      <c r="D39" s="110" t="s">
        <v>91</v>
      </c>
      <c r="E39" s="128"/>
      <c r="F39" s="129">
        <f>222300000/7000</f>
        <v>31757.142857142859</v>
      </c>
      <c r="G39" s="129">
        <f>F39*100/43000000</f>
        <v>7.3853820598006645E-2</v>
      </c>
      <c r="H39" s="130"/>
      <c r="I39" s="158"/>
      <c r="L39" s="116"/>
    </row>
    <row r="40" spans="2:14" ht="16.5" customHeight="1" x14ac:dyDescent="0.25">
      <c r="C40" s="139">
        <v>500</v>
      </c>
      <c r="D40" s="120" t="s">
        <v>10</v>
      </c>
      <c r="E40" s="140">
        <v>2943700</v>
      </c>
      <c r="F40" s="141">
        <f>F41+F42+F44+F45</f>
        <v>1654182.9215714287</v>
      </c>
      <c r="G40" s="141">
        <f>F40*100/E52</f>
        <v>3.8469370269102994</v>
      </c>
      <c r="H40" s="138">
        <f>SUM(H41:H45)</f>
        <v>147135.99</v>
      </c>
      <c r="I40" s="150">
        <f>H40*100/E52</f>
        <v>0.34217672093023255</v>
      </c>
      <c r="J40" s="150">
        <f>SUM(J41:J45)</f>
        <v>4.1891137478405316</v>
      </c>
      <c r="L40" s="117" t="s">
        <v>100</v>
      </c>
    </row>
    <row r="41" spans="2:14" ht="16.5" customHeight="1" x14ac:dyDescent="0.25">
      <c r="C41" s="109">
        <v>533</v>
      </c>
      <c r="D41" s="110" t="s">
        <v>85</v>
      </c>
      <c r="E41" s="128"/>
      <c r="F41" s="129">
        <f>195000000/7000</f>
        <v>27857.142857142859</v>
      </c>
      <c r="G41" s="129">
        <f>F41*100/43000000</f>
        <v>6.4784053156146187E-2</v>
      </c>
      <c r="H41" s="130">
        <v>24214.29</v>
      </c>
      <c r="I41" s="158">
        <f>H41*100/43000000</f>
        <v>5.6312302325581397E-2</v>
      </c>
      <c r="J41" s="153">
        <f>SUM(G41+I41)</f>
        <v>0.12109635548172759</v>
      </c>
      <c r="L41" s="117">
        <v>1787376.46</v>
      </c>
      <c r="M41" s="35" t="s">
        <v>95</v>
      </c>
      <c r="N41" s="35"/>
    </row>
    <row r="42" spans="2:14" ht="16.5" customHeight="1" x14ac:dyDescent="0.25">
      <c r="C42" s="109">
        <v>536</v>
      </c>
      <c r="D42" s="110" t="s">
        <v>92</v>
      </c>
      <c r="E42" s="128"/>
      <c r="F42" s="129">
        <f>16170000/7000</f>
        <v>2310</v>
      </c>
      <c r="G42" s="129">
        <f>F42*100/43000000</f>
        <v>5.3720930232558136E-3</v>
      </c>
      <c r="H42" s="130"/>
      <c r="I42" s="158"/>
      <c r="J42" s="153">
        <f t="shared" ref="J42:J45" si="6">SUM(G42+I42)</f>
        <v>5.3720930232558136E-3</v>
      </c>
      <c r="L42" s="117">
        <v>402765.41</v>
      </c>
      <c r="M42" s="35" t="s">
        <v>96</v>
      </c>
      <c r="N42" s="35"/>
    </row>
    <row r="43" spans="2:14" ht="16.5" customHeight="1" x14ac:dyDescent="0.25">
      <c r="C43" s="109">
        <v>541</v>
      </c>
      <c r="D43" s="110" t="s">
        <v>107</v>
      </c>
      <c r="E43" s="128"/>
      <c r="F43" s="129">
        <f>SUM(6622118850/7000)</f>
        <v>946016.97857142857</v>
      </c>
      <c r="G43" s="129"/>
      <c r="H43" s="130">
        <v>0</v>
      </c>
      <c r="I43" s="158">
        <f>H43*100/43000000</f>
        <v>0</v>
      </c>
      <c r="J43" s="153">
        <f t="shared" si="6"/>
        <v>0</v>
      </c>
      <c r="L43" s="117"/>
      <c r="M43" s="35"/>
      <c r="N43" s="35"/>
    </row>
    <row r="44" spans="2:14" ht="16.5" customHeight="1" x14ac:dyDescent="0.25">
      <c r="C44" s="109">
        <v>543</v>
      </c>
      <c r="D44" s="110" t="s">
        <v>93</v>
      </c>
      <c r="E44" s="128"/>
      <c r="F44" s="129">
        <f>8914943051/7000</f>
        <v>1273563.2930000001</v>
      </c>
      <c r="G44" s="129">
        <f>F44*100/43000000</f>
        <v>2.9617751000000001</v>
      </c>
      <c r="H44" s="130">
        <f>62859.28+14585.71+28658.57</f>
        <v>106103.56</v>
      </c>
      <c r="I44" s="158">
        <f>H44*100/43000000</f>
        <v>0.24675246511627907</v>
      </c>
      <c r="J44" s="153">
        <f t="shared" si="6"/>
        <v>3.2085275651162792</v>
      </c>
      <c r="L44" s="117">
        <f>SUM(L41:L42)</f>
        <v>2190141.87</v>
      </c>
      <c r="M44" s="35" t="s">
        <v>97</v>
      </c>
      <c r="N44" s="35"/>
    </row>
    <row r="45" spans="2:14" ht="16.5" customHeight="1" x14ac:dyDescent="0.25">
      <c r="C45" s="109">
        <v>579</v>
      </c>
      <c r="D45" s="110" t="s">
        <v>94</v>
      </c>
      <c r="E45" s="128"/>
      <c r="F45" s="129">
        <f>2453167400/7000</f>
        <v>350452.48571428569</v>
      </c>
      <c r="G45" s="129">
        <f>F45*100/43000000</f>
        <v>0.81500578073089691</v>
      </c>
      <c r="H45" s="130">
        <v>16818.14</v>
      </c>
      <c r="I45" s="158">
        <f>H45*100/43000000</f>
        <v>3.9111953488372091E-2</v>
      </c>
      <c r="J45" s="153">
        <f t="shared" si="6"/>
        <v>0.85411773421926895</v>
      </c>
      <c r="L45" s="118">
        <v>95790.64</v>
      </c>
      <c r="M45" s="35" t="s">
        <v>98</v>
      </c>
      <c r="N45" s="35"/>
    </row>
    <row r="46" spans="2:14" ht="16.5" customHeight="1" x14ac:dyDescent="0.25">
      <c r="C46" s="139">
        <v>800</v>
      </c>
      <c r="D46" s="120" t="s">
        <v>53</v>
      </c>
      <c r="E46" s="140">
        <v>7427466</v>
      </c>
      <c r="F46" s="141">
        <f>F47+F48</f>
        <v>7262479.7120000003</v>
      </c>
      <c r="G46" s="141">
        <f>F46*100/E52</f>
        <v>16.889487702325582</v>
      </c>
      <c r="H46" s="138">
        <v>0</v>
      </c>
      <c r="I46" s="150"/>
      <c r="J46" s="150">
        <f>SUM(J47:J48)</f>
        <v>16.889487702325582</v>
      </c>
      <c r="L46" s="117">
        <f>SUM(L44:L45)</f>
        <v>2285932.5100000002</v>
      </c>
      <c r="M46" s="35"/>
      <c r="N46" s="35"/>
    </row>
    <row r="47" spans="2:14" s="112" customFormat="1" ht="16.5" customHeight="1" x14ac:dyDescent="0.25">
      <c r="B47" s="113"/>
      <c r="C47" s="109">
        <v>849</v>
      </c>
      <c r="D47" s="110" t="s">
        <v>117</v>
      </c>
      <c r="E47" s="128"/>
      <c r="F47" s="129">
        <f>35765882000/7000</f>
        <v>5109411.7142857146</v>
      </c>
      <c r="G47" s="129">
        <f>F47*100/43000000</f>
        <v>11.882352823920266</v>
      </c>
      <c r="H47" s="130"/>
      <c r="I47" s="158"/>
      <c r="J47" s="162">
        <f>SUM(I47+G47)</f>
        <v>11.882352823920266</v>
      </c>
      <c r="L47" s="116"/>
    </row>
    <row r="48" spans="2:14" s="112" customFormat="1" ht="16.5" customHeight="1" x14ac:dyDescent="0.25">
      <c r="B48" s="113"/>
      <c r="C48" s="109">
        <v>852</v>
      </c>
      <c r="D48" s="110" t="s">
        <v>118</v>
      </c>
      <c r="E48" s="128"/>
      <c r="F48" s="129">
        <f>SUM(15071475984/7000)</f>
        <v>2153067.9977142857</v>
      </c>
      <c r="G48" s="129">
        <f>F48*100/43000000</f>
        <v>5.0071348784053162</v>
      </c>
      <c r="H48" s="130">
        <v>0</v>
      </c>
      <c r="I48" s="158"/>
      <c r="J48" s="162">
        <f>SUM(I48+G48)</f>
        <v>5.0071348784053162</v>
      </c>
      <c r="K48" s="114"/>
      <c r="L48" s="116"/>
    </row>
    <row r="49" spans="3:11" ht="16.5" customHeight="1" x14ac:dyDescent="0.25">
      <c r="C49" s="142">
        <v>900</v>
      </c>
      <c r="D49" s="143" t="s">
        <v>12</v>
      </c>
      <c r="E49" s="144">
        <v>20516</v>
      </c>
      <c r="F49" s="145">
        <v>0</v>
      </c>
      <c r="G49" s="145"/>
      <c r="H49" s="146">
        <v>0</v>
      </c>
      <c r="I49" s="150"/>
      <c r="J49" s="150"/>
    </row>
    <row r="50" spans="3:11" ht="16.5" customHeight="1" x14ac:dyDescent="0.25">
      <c r="C50" s="59" t="s">
        <v>61</v>
      </c>
      <c r="D50" s="60" t="s">
        <v>63</v>
      </c>
      <c r="E50" s="131">
        <v>600000</v>
      </c>
      <c r="F50" s="132">
        <v>0</v>
      </c>
      <c r="G50" s="132"/>
      <c r="H50" s="133">
        <v>0</v>
      </c>
      <c r="I50" s="156"/>
    </row>
    <row r="51" spans="3:11" ht="16.5" customHeight="1" thickBot="1" x14ac:dyDescent="0.3">
      <c r="C51" s="93" t="s">
        <v>61</v>
      </c>
      <c r="D51" s="92" t="s">
        <v>64</v>
      </c>
      <c r="E51" s="134">
        <v>3602674</v>
      </c>
      <c r="F51" s="135">
        <v>0</v>
      </c>
      <c r="G51" s="135"/>
      <c r="H51" s="136">
        <v>0</v>
      </c>
      <c r="I51" s="159"/>
      <c r="J51" s="41"/>
    </row>
    <row r="52" spans="3:11" ht="16.5" customHeight="1" x14ac:dyDescent="0.25">
      <c r="C52" s="119"/>
      <c r="D52" s="120" t="s">
        <v>14</v>
      </c>
      <c r="E52" s="137">
        <f>SUM(E10:E51)</f>
        <v>43000000</v>
      </c>
      <c r="F52" s="137">
        <f>SUM(F49+F46+F40+F31+F18+F10)</f>
        <v>20036400.85414286</v>
      </c>
      <c r="G52" s="145">
        <f>G46+G40+G31+G18+G10</f>
        <v>46.596281056146182</v>
      </c>
      <c r="H52" s="138">
        <f>SUM(H49+H46+H40+H31+H18+H10)</f>
        <v>5532753.9909871425</v>
      </c>
      <c r="I52" s="151">
        <f>I40+I31+I18+I10</f>
        <v>12.866869746481729</v>
      </c>
      <c r="J52" s="151">
        <f>SUM(J40+J31+J18+J10)+J46</f>
        <v>59.389296982029904</v>
      </c>
    </row>
    <row r="53" spans="3:11" ht="16.5" customHeight="1" x14ac:dyDescent="0.25">
      <c r="C53" s="86" t="s">
        <v>124</v>
      </c>
      <c r="D53" s="48"/>
      <c r="E53" s="49"/>
      <c r="F53" s="49"/>
      <c r="G53" s="49"/>
      <c r="H53" s="147"/>
      <c r="I53" s="72"/>
      <c r="J53" s="153"/>
    </row>
    <row r="54" spans="3:11" ht="14.25" customHeight="1" x14ac:dyDescent="0.25">
      <c r="C54" s="94" t="s">
        <v>60</v>
      </c>
      <c r="D54" s="48"/>
      <c r="E54" s="49"/>
      <c r="F54" s="49"/>
      <c r="H54" s="49"/>
      <c r="I54" s="49"/>
      <c r="J54" s="64"/>
    </row>
    <row r="55" spans="3:11" ht="14.25" customHeight="1" x14ac:dyDescent="0.25">
      <c r="C55" s="94" t="s">
        <v>123</v>
      </c>
      <c r="D55" s="48"/>
      <c r="E55" s="49"/>
      <c r="F55" s="49"/>
      <c r="G55" s="49"/>
      <c r="H55" s="49"/>
      <c r="I55" s="49"/>
    </row>
    <row r="56" spans="3:11" ht="14.25" customHeight="1" x14ac:dyDescent="0.25">
      <c r="C56" s="94" t="s">
        <v>62</v>
      </c>
      <c r="E56" s="2"/>
      <c r="F56" s="29"/>
      <c r="G56" s="29"/>
      <c r="I56" s="29"/>
    </row>
    <row r="57" spans="3:11" ht="14.25" customHeight="1" x14ac:dyDescent="0.25">
      <c r="C57" s="94" t="s">
        <v>99</v>
      </c>
      <c r="E57" s="29"/>
    </row>
    <row r="58" spans="3:11" ht="16.5" customHeight="1" x14ac:dyDescent="0.25">
      <c r="J58" s="152"/>
    </row>
    <row r="59" spans="3:11" ht="16.5" customHeight="1" x14ac:dyDescent="0.25">
      <c r="K59" s="107"/>
    </row>
    <row r="60" spans="3:11" ht="16.5" customHeight="1" x14ac:dyDescent="0.25">
      <c r="C60" s="1"/>
      <c r="D60" s="98" t="s">
        <v>67</v>
      </c>
      <c r="E60" s="96" t="s">
        <v>68</v>
      </c>
      <c r="F60" s="95" t="s">
        <v>66</v>
      </c>
      <c r="G60" s="148"/>
      <c r="K60" s="107"/>
    </row>
    <row r="61" spans="3:11" ht="16.5" customHeight="1" x14ac:dyDescent="0.25">
      <c r="C61" s="1"/>
      <c r="D61" s="123" t="s">
        <v>18</v>
      </c>
      <c r="E61" s="97">
        <f>+F52</f>
        <v>20036400.85414286</v>
      </c>
      <c r="F61" s="160">
        <f>+E61/E64</f>
        <v>0.46596281056146183</v>
      </c>
      <c r="G61" s="99"/>
      <c r="J61" s="2"/>
      <c r="K61" s="107"/>
    </row>
    <row r="62" spans="3:11" ht="16.5" customHeight="1" x14ac:dyDescent="0.25">
      <c r="C62" s="1"/>
      <c r="D62" s="123" t="s">
        <v>19</v>
      </c>
      <c r="E62" s="97">
        <v>5532753.9900000002</v>
      </c>
      <c r="F62" s="160">
        <v>0.12859999999999999</v>
      </c>
      <c r="G62" s="99"/>
      <c r="K62" s="107"/>
    </row>
    <row r="63" spans="3:11" ht="30.75" customHeight="1" thickBot="1" x14ac:dyDescent="0.3">
      <c r="C63" s="1"/>
      <c r="D63" s="122" t="s">
        <v>65</v>
      </c>
      <c r="E63" s="124">
        <v>17535890</v>
      </c>
      <c r="F63" s="161">
        <f>+E63/E64</f>
        <v>0.4078113953488372</v>
      </c>
      <c r="G63" s="149"/>
    </row>
    <row r="64" spans="3:11" ht="16.5" customHeight="1" x14ac:dyDescent="0.25">
      <c r="C64" s="1"/>
      <c r="D64" s="100" t="s">
        <v>14</v>
      </c>
      <c r="E64" s="101">
        <v>43000000</v>
      </c>
      <c r="F64" s="102">
        <f>SUM(F61:F63)</f>
        <v>1.0023742059102989</v>
      </c>
      <c r="G64" s="102"/>
    </row>
    <row r="65" spans="3:7" ht="16.5" customHeight="1" x14ac:dyDescent="0.25">
      <c r="C65" s="1"/>
      <c r="D65" s="50"/>
      <c r="E65" s="97"/>
      <c r="F65" s="44"/>
      <c r="G65" s="44"/>
    </row>
    <row r="67" spans="3:7" ht="16.5" customHeight="1" x14ac:dyDescent="0.25">
      <c r="G67" s="29"/>
    </row>
  </sheetData>
  <mergeCells count="5">
    <mergeCell ref="C7:J7"/>
    <mergeCell ref="C3:I3"/>
    <mergeCell ref="C6:J6"/>
    <mergeCell ref="C4:J4"/>
    <mergeCell ref="C5:J5"/>
  </mergeCells>
  <printOptions horizontalCentered="1"/>
  <pageMargins left="0.31496062992125984" right="0.70866141732283472" top="0.78740157480314965" bottom="0.78740157480314965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B2:K118"/>
  <sheetViews>
    <sheetView showGridLines="0" topLeftCell="A19" zoomScale="90" zoomScaleNormal="90" workbookViewId="0">
      <selection activeCell="F68" sqref="F68"/>
    </sheetView>
  </sheetViews>
  <sheetFormatPr baseColWidth="10" defaultRowHeight="15" x14ac:dyDescent="0.25"/>
  <cols>
    <col min="1" max="1" width="7.28515625" style="1" customWidth="1"/>
    <col min="2" max="2" width="5" style="3" customWidth="1"/>
    <col min="3" max="3" width="9.140625" style="3" customWidth="1"/>
    <col min="4" max="4" width="49.42578125" style="1" customWidth="1"/>
    <col min="5" max="5" width="19" style="1" customWidth="1"/>
    <col min="6" max="6" width="18.140625" style="1" customWidth="1"/>
    <col min="7" max="7" width="19" style="1" customWidth="1"/>
    <col min="8" max="8" width="16.140625" style="1" customWidth="1"/>
    <col min="9" max="9" width="19.28515625" style="1" customWidth="1"/>
    <col min="10" max="10" width="20.5703125" style="1" customWidth="1"/>
    <col min="11" max="11" width="15.7109375" style="1" bestFit="1" customWidth="1"/>
    <col min="12" max="16384" width="11.42578125" style="1"/>
  </cols>
  <sheetData>
    <row r="2" spans="2:6" ht="21" x14ac:dyDescent="0.35">
      <c r="C2" s="84" t="s">
        <v>58</v>
      </c>
    </row>
    <row r="6" spans="2:6" s="2" customFormat="1" x14ac:dyDescent="0.25">
      <c r="B6" s="28"/>
      <c r="C6" s="28"/>
    </row>
    <row r="7" spans="2:6" ht="23.25" x14ac:dyDescent="0.35">
      <c r="C7" s="1"/>
      <c r="E7" s="85" t="s">
        <v>33</v>
      </c>
      <c r="F7" s="85" t="s">
        <v>59</v>
      </c>
    </row>
    <row r="8" spans="2:6" x14ac:dyDescent="0.25">
      <c r="C8" s="1"/>
      <c r="E8" s="76">
        <v>2021</v>
      </c>
      <c r="F8" s="12">
        <v>0</v>
      </c>
    </row>
    <row r="9" spans="2:6" x14ac:dyDescent="0.25">
      <c r="C9" s="1"/>
      <c r="E9" s="76">
        <v>2022</v>
      </c>
      <c r="F9" s="77">
        <v>29586207.368399516</v>
      </c>
    </row>
    <row r="10" spans="2:6" x14ac:dyDescent="0.25">
      <c r="C10" s="1"/>
      <c r="E10" s="76">
        <v>2023</v>
      </c>
      <c r="F10" s="77">
        <v>4858691.3380331285</v>
      </c>
    </row>
    <row r="11" spans="2:6" x14ac:dyDescent="0.25">
      <c r="E11" s="76">
        <v>2024</v>
      </c>
      <c r="F11" s="77">
        <v>2823045.5098995701</v>
      </c>
    </row>
    <row r="12" spans="2:6" x14ac:dyDescent="0.25">
      <c r="E12" s="76">
        <v>2025</v>
      </c>
      <c r="F12" s="77">
        <v>1326745.7784791966</v>
      </c>
    </row>
    <row r="13" spans="2:6" ht="15.75" thickBot="1" x14ac:dyDescent="0.3">
      <c r="E13" s="78">
        <v>2026</v>
      </c>
      <c r="F13" s="79">
        <v>802636.43127690104</v>
      </c>
    </row>
    <row r="14" spans="2:6" ht="15.75" x14ac:dyDescent="0.25">
      <c r="C14" s="1"/>
      <c r="E14" s="80" t="s">
        <v>3</v>
      </c>
      <c r="F14" s="81">
        <v>39397326.426088311</v>
      </c>
    </row>
    <row r="15" spans="2:6" x14ac:dyDescent="0.25">
      <c r="C15" s="1"/>
      <c r="D15" s="2"/>
    </row>
    <row r="16" spans="2:6" x14ac:dyDescent="0.25">
      <c r="C16" s="1"/>
      <c r="D16" s="2"/>
    </row>
    <row r="17" spans="2:10" x14ac:dyDescent="0.25">
      <c r="C17" s="1"/>
      <c r="D17" s="2"/>
    </row>
    <row r="18" spans="2:10" x14ac:dyDescent="0.25">
      <c r="C18" s="1"/>
      <c r="D18" s="2"/>
    </row>
    <row r="19" spans="2:10" x14ac:dyDescent="0.25">
      <c r="C19" s="1"/>
      <c r="D19" s="2"/>
    </row>
    <row r="20" spans="2:10" x14ac:dyDescent="0.25">
      <c r="C20" s="1"/>
      <c r="D20" s="2"/>
    </row>
    <row r="21" spans="2:10" hidden="1" x14ac:dyDescent="0.25">
      <c r="C21" s="1"/>
      <c r="D21" s="2"/>
    </row>
    <row r="22" spans="2:10" ht="21" hidden="1" x14ac:dyDescent="0.35">
      <c r="C22" s="75" t="s">
        <v>56</v>
      </c>
    </row>
    <row r="23" spans="2:10" hidden="1" x14ac:dyDescent="0.25"/>
    <row r="24" spans="2:10" s="12" customFormat="1" ht="33.75" hidden="1" customHeight="1" x14ac:dyDescent="0.25">
      <c r="B24" s="53" t="s">
        <v>2</v>
      </c>
      <c r="C24" s="53" t="s">
        <v>1</v>
      </c>
      <c r="D24" s="53" t="s">
        <v>0</v>
      </c>
      <c r="E24" s="26" t="s">
        <v>6</v>
      </c>
      <c r="F24" s="26" t="s">
        <v>18</v>
      </c>
      <c r="G24" s="53" t="s">
        <v>5</v>
      </c>
      <c r="H24" s="53" t="s">
        <v>4</v>
      </c>
    </row>
    <row r="25" spans="2:10" hidden="1" x14ac:dyDescent="0.25">
      <c r="B25" s="22"/>
      <c r="C25" s="22"/>
      <c r="D25" s="23" t="s">
        <v>3</v>
      </c>
      <c r="E25" s="24" t="e">
        <f>+#REF!/7000</f>
        <v>#REF!</v>
      </c>
      <c r="F25" s="24" t="e">
        <f>+#REF!/7000</f>
        <v>#REF!</v>
      </c>
      <c r="G25" s="31" t="e">
        <f>+#REF!/7000</f>
        <v>#REF!</v>
      </c>
      <c r="H25" s="25" t="e">
        <f>+F25/E25</f>
        <v>#REF!</v>
      </c>
    </row>
    <row r="26" spans="2:10" s="4" customFormat="1" hidden="1" x14ac:dyDescent="0.25">
      <c r="B26" s="13">
        <v>1</v>
      </c>
      <c r="C26" s="13">
        <v>100</v>
      </c>
      <c r="D26" s="14" t="s">
        <v>7</v>
      </c>
      <c r="E26" s="15" t="e">
        <f>+#REF!/7000</f>
        <v>#REF!</v>
      </c>
      <c r="F26" s="15" t="e">
        <f>+#REF!/7000</f>
        <v>#REF!</v>
      </c>
      <c r="G26" s="30">
        <v>3239579.4226685795</v>
      </c>
      <c r="H26" s="16" t="e">
        <f>+F26/E26</f>
        <v>#REF!</v>
      </c>
    </row>
    <row r="27" spans="2:10" hidden="1" x14ac:dyDescent="0.25">
      <c r="B27" s="6">
        <v>2</v>
      </c>
      <c r="C27" s="6">
        <v>120</v>
      </c>
      <c r="D27" s="7" t="s">
        <v>50</v>
      </c>
      <c r="E27" s="8" t="e">
        <f>+#REF!/7000</f>
        <v>#REF!</v>
      </c>
      <c r="F27" s="8" t="e">
        <f>+#REF!/7000</f>
        <v>#REF!</v>
      </c>
      <c r="G27" s="32" t="e">
        <f>+#REF!/7000</f>
        <v>#REF!</v>
      </c>
      <c r="H27" s="9" t="e">
        <f>+F27/E27</f>
        <v>#REF!</v>
      </c>
    </row>
    <row r="28" spans="2:10" hidden="1" x14ac:dyDescent="0.25">
      <c r="B28" s="6">
        <v>2</v>
      </c>
      <c r="C28" s="6">
        <v>130</v>
      </c>
      <c r="D28" s="7" t="s">
        <v>51</v>
      </c>
      <c r="E28" s="8" t="e">
        <f>+#REF!/7000</f>
        <v>#REF!</v>
      </c>
      <c r="F28" s="8" t="e">
        <f>+#REF!/7000</f>
        <v>#REF!</v>
      </c>
      <c r="G28" s="32" t="e">
        <f>+#REF!/7000</f>
        <v>#REF!</v>
      </c>
      <c r="H28" s="9" t="e">
        <f t="shared" ref="H28:H52" si="0">+F28/E28</f>
        <v>#REF!</v>
      </c>
    </row>
    <row r="29" spans="2:10" hidden="1" x14ac:dyDescent="0.25">
      <c r="B29" s="6">
        <v>2</v>
      </c>
      <c r="C29" s="6">
        <v>140</v>
      </c>
      <c r="D29" s="7" t="s">
        <v>52</v>
      </c>
      <c r="E29" s="8" t="e">
        <f>+#REF!/7000</f>
        <v>#REF!</v>
      </c>
      <c r="F29" s="8" t="e">
        <f>+#REF!/7000</f>
        <v>#REF!</v>
      </c>
      <c r="G29" s="32" t="e">
        <f>+#REF!/7000</f>
        <v>#REF!</v>
      </c>
      <c r="H29" s="9" t="e">
        <f t="shared" si="0"/>
        <v>#REF!</v>
      </c>
    </row>
    <row r="30" spans="2:10" s="4" customFormat="1" hidden="1" x14ac:dyDescent="0.25">
      <c r="B30" s="13">
        <v>1</v>
      </c>
      <c r="C30" s="13">
        <v>200</v>
      </c>
      <c r="D30" s="14" t="s">
        <v>8</v>
      </c>
      <c r="E30" s="15" t="e">
        <f>+#REF!/7000</f>
        <v>#REF!</v>
      </c>
      <c r="F30" s="15" t="e">
        <f>+#REF!/7000</f>
        <v>#REF!</v>
      </c>
      <c r="G30" s="30">
        <v>3311260.6668571429</v>
      </c>
      <c r="H30" s="16" t="e">
        <f t="shared" si="0"/>
        <v>#REF!</v>
      </c>
      <c r="J30" s="1"/>
    </row>
    <row r="31" spans="2:10" hidden="1" x14ac:dyDescent="0.25">
      <c r="B31" s="6">
        <v>2</v>
      </c>
      <c r="C31" s="6">
        <v>210</v>
      </c>
      <c r="D31" s="7" t="s">
        <v>44</v>
      </c>
      <c r="E31" s="8" t="e">
        <f>+#REF!/7000</f>
        <v>#REF!</v>
      </c>
      <c r="F31" s="8" t="e">
        <f>+#REF!/7000</f>
        <v>#REF!</v>
      </c>
      <c r="G31" s="32" t="e">
        <f>+#REF!/7000</f>
        <v>#REF!</v>
      </c>
      <c r="H31" s="9" t="e">
        <f t="shared" si="0"/>
        <v>#REF!</v>
      </c>
    </row>
    <row r="32" spans="2:10" hidden="1" x14ac:dyDescent="0.25">
      <c r="B32" s="6">
        <v>2</v>
      </c>
      <c r="C32" s="6">
        <v>220</v>
      </c>
      <c r="D32" s="7" t="s">
        <v>45</v>
      </c>
      <c r="E32" s="8" t="e">
        <f>+#REF!/7000</f>
        <v>#REF!</v>
      </c>
      <c r="F32" s="55" t="e">
        <f>+#REF!/7000</f>
        <v>#REF!</v>
      </c>
      <c r="G32" s="32" t="e">
        <f>+#REF!/7000</f>
        <v>#REF!</v>
      </c>
      <c r="H32" s="9" t="e">
        <f t="shared" si="0"/>
        <v>#REF!</v>
      </c>
    </row>
    <row r="33" spans="2:10" hidden="1" x14ac:dyDescent="0.25">
      <c r="B33" s="6">
        <v>2</v>
      </c>
      <c r="C33" s="6">
        <v>230</v>
      </c>
      <c r="D33" s="7" t="s">
        <v>46</v>
      </c>
      <c r="E33" s="8" t="e">
        <f>+#REF!/7000</f>
        <v>#REF!</v>
      </c>
      <c r="F33" s="8" t="e">
        <f>+#REF!/7000</f>
        <v>#REF!</v>
      </c>
      <c r="G33" s="32" t="e">
        <f>+#REF!/7000</f>
        <v>#REF!</v>
      </c>
      <c r="H33" s="9" t="e">
        <f t="shared" si="0"/>
        <v>#REF!</v>
      </c>
    </row>
    <row r="34" spans="2:10" ht="30" hidden="1" x14ac:dyDescent="0.25">
      <c r="B34" s="6">
        <v>2</v>
      </c>
      <c r="C34" s="6">
        <v>240</v>
      </c>
      <c r="D34" s="10" t="s">
        <v>47</v>
      </c>
      <c r="E34" s="8" t="e">
        <f>+#REF!/7000</f>
        <v>#REF!</v>
      </c>
      <c r="F34" s="55" t="e">
        <f>+#REF!/7000</f>
        <v>#REF!</v>
      </c>
      <c r="G34" s="32" t="e">
        <f>+#REF!/7000</f>
        <v>#REF!</v>
      </c>
      <c r="H34" s="9" t="e">
        <f t="shared" si="0"/>
        <v>#REF!</v>
      </c>
    </row>
    <row r="35" spans="2:10" hidden="1" x14ac:dyDescent="0.25">
      <c r="B35" s="6">
        <v>2</v>
      </c>
      <c r="C35" s="6">
        <v>250</v>
      </c>
      <c r="D35" s="7" t="s">
        <v>48</v>
      </c>
      <c r="E35" s="8" t="e">
        <f>+#REF!/7000</f>
        <v>#REF!</v>
      </c>
      <c r="F35" s="8" t="e">
        <f>+#REF!/7000</f>
        <v>#REF!</v>
      </c>
      <c r="G35" s="32" t="e">
        <f>+#REF!/7000</f>
        <v>#REF!</v>
      </c>
      <c r="H35" s="9" t="e">
        <f t="shared" si="0"/>
        <v>#REF!</v>
      </c>
    </row>
    <row r="36" spans="2:10" hidden="1" x14ac:dyDescent="0.25">
      <c r="B36" s="6">
        <v>2</v>
      </c>
      <c r="C36" s="6">
        <v>260</v>
      </c>
      <c r="D36" s="7" t="s">
        <v>49</v>
      </c>
      <c r="E36" s="8" t="e">
        <f>+#REF!/7000</f>
        <v>#REF!</v>
      </c>
      <c r="F36" s="8" t="e">
        <f>+#REF!/7000</f>
        <v>#REF!</v>
      </c>
      <c r="G36" s="32" t="e">
        <f>+#REF!/7000</f>
        <v>#REF!</v>
      </c>
      <c r="H36" s="9" t="e">
        <f t="shared" si="0"/>
        <v>#REF!</v>
      </c>
    </row>
    <row r="37" spans="2:10" s="4" customFormat="1" hidden="1" x14ac:dyDescent="0.25">
      <c r="B37" s="13">
        <v>1</v>
      </c>
      <c r="C37" s="13">
        <v>300</v>
      </c>
      <c r="D37" s="17" t="s">
        <v>9</v>
      </c>
      <c r="E37" s="15" t="e">
        <f>+#REF!/7000</f>
        <v>#REF!</v>
      </c>
      <c r="F37" s="15" t="e">
        <f>+#REF!/7000</f>
        <v>#REF!</v>
      </c>
      <c r="G37" s="30" t="e">
        <f>+#REF!/7000</f>
        <v>#REF!</v>
      </c>
      <c r="H37" s="16" t="e">
        <f t="shared" si="0"/>
        <v>#REF!</v>
      </c>
      <c r="J37" s="1"/>
    </row>
    <row r="38" spans="2:10" hidden="1" x14ac:dyDescent="0.25">
      <c r="B38" s="6">
        <v>2</v>
      </c>
      <c r="C38" s="6">
        <v>320</v>
      </c>
      <c r="D38" s="7" t="s">
        <v>38</v>
      </c>
      <c r="E38" s="8" t="e">
        <f>+#REF!/7000</f>
        <v>#REF!</v>
      </c>
      <c r="F38" s="55" t="e">
        <f>+#REF!/7000</f>
        <v>#REF!</v>
      </c>
      <c r="G38" s="33" t="e">
        <f>+#REF!/7000</f>
        <v>#REF!</v>
      </c>
      <c r="H38" s="5" t="e">
        <f t="shared" si="0"/>
        <v>#REF!</v>
      </c>
    </row>
    <row r="39" spans="2:10" hidden="1" x14ac:dyDescent="0.25">
      <c r="B39" s="6">
        <v>2</v>
      </c>
      <c r="C39" s="6">
        <v>330</v>
      </c>
      <c r="D39" s="7" t="s">
        <v>39</v>
      </c>
      <c r="E39" s="8" t="e">
        <f>+#REF!/7000</f>
        <v>#REF!</v>
      </c>
      <c r="F39" s="8" t="e">
        <f>+#REF!/7000</f>
        <v>#REF!</v>
      </c>
      <c r="G39" s="33" t="e">
        <f>+#REF!/7000</f>
        <v>#REF!</v>
      </c>
      <c r="H39" s="5" t="e">
        <f t="shared" si="0"/>
        <v>#REF!</v>
      </c>
    </row>
    <row r="40" spans="2:10" hidden="1" x14ac:dyDescent="0.25">
      <c r="B40" s="6">
        <v>2</v>
      </c>
      <c r="C40" s="6">
        <v>340</v>
      </c>
      <c r="D40" s="7" t="s">
        <v>40</v>
      </c>
      <c r="E40" s="8" t="e">
        <f>+#REF!/7000</f>
        <v>#REF!</v>
      </c>
      <c r="F40" s="8" t="e">
        <f>+#REF!/7000</f>
        <v>#REF!</v>
      </c>
      <c r="G40" s="33" t="e">
        <f>+#REF!/7000</f>
        <v>#REF!</v>
      </c>
      <c r="H40" s="5" t="e">
        <f>+F40/E40</f>
        <v>#REF!</v>
      </c>
    </row>
    <row r="41" spans="2:10" hidden="1" x14ac:dyDescent="0.25">
      <c r="B41" s="6">
        <v>2</v>
      </c>
      <c r="C41" s="6">
        <v>350</v>
      </c>
      <c r="D41" s="7" t="s">
        <v>41</v>
      </c>
      <c r="E41" s="8" t="e">
        <f>+#REF!/7000</f>
        <v>#REF!</v>
      </c>
      <c r="F41" s="55" t="e">
        <f>+#REF!/7000</f>
        <v>#REF!</v>
      </c>
      <c r="G41" s="33" t="e">
        <f>+#REF!/7000</f>
        <v>#REF!</v>
      </c>
      <c r="H41" s="5" t="e">
        <f>+F41/E41</f>
        <v>#REF!</v>
      </c>
    </row>
    <row r="42" spans="2:10" hidden="1" x14ac:dyDescent="0.25">
      <c r="B42" s="6">
        <v>2</v>
      </c>
      <c r="C42" s="6">
        <v>360</v>
      </c>
      <c r="D42" s="7" t="s">
        <v>42</v>
      </c>
      <c r="E42" s="8" t="e">
        <f>+#REF!/7000</f>
        <v>#REF!</v>
      </c>
      <c r="F42" s="8" t="e">
        <f>+#REF!/7000</f>
        <v>#REF!</v>
      </c>
      <c r="G42" s="33" t="e">
        <f>+#REF!/7000</f>
        <v>#REF!</v>
      </c>
      <c r="H42" s="5" t="e">
        <f t="shared" si="0"/>
        <v>#REF!</v>
      </c>
    </row>
    <row r="43" spans="2:10" hidden="1" x14ac:dyDescent="0.25">
      <c r="B43" s="6">
        <v>2</v>
      </c>
      <c r="C43" s="6">
        <v>390</v>
      </c>
      <c r="D43" s="7" t="s">
        <v>43</v>
      </c>
      <c r="E43" s="8" t="e">
        <f>+#REF!/7000</f>
        <v>#REF!</v>
      </c>
      <c r="F43" s="55" t="e">
        <f>+#REF!/7000</f>
        <v>#REF!</v>
      </c>
      <c r="G43" s="33" t="e">
        <f>+#REF!/7000</f>
        <v>#REF!</v>
      </c>
      <c r="H43" s="5" t="e">
        <f t="shared" si="0"/>
        <v>#REF!</v>
      </c>
    </row>
    <row r="44" spans="2:10" s="4" customFormat="1" hidden="1" x14ac:dyDescent="0.25">
      <c r="B44" s="13">
        <v>1</v>
      </c>
      <c r="C44" s="13">
        <v>500</v>
      </c>
      <c r="D44" s="14" t="s">
        <v>10</v>
      </c>
      <c r="E44" s="15" t="e">
        <f>+#REF!/7000</f>
        <v>#REF!</v>
      </c>
      <c r="F44" s="15" t="e">
        <f>+#REF!/7000</f>
        <v>#REF!</v>
      </c>
      <c r="G44" s="30" t="e">
        <f>+#REF!/7000</f>
        <v>#REF!</v>
      </c>
      <c r="H44" s="16" t="e">
        <f t="shared" si="0"/>
        <v>#REF!</v>
      </c>
      <c r="J44" s="1"/>
    </row>
    <row r="45" spans="2:10" ht="30" hidden="1" x14ac:dyDescent="0.25">
      <c r="B45" s="6">
        <v>2</v>
      </c>
      <c r="C45" s="6">
        <v>530</v>
      </c>
      <c r="D45" s="10" t="s">
        <v>36</v>
      </c>
      <c r="E45" s="8" t="e">
        <f>+#REF!/7000</f>
        <v>#REF!</v>
      </c>
      <c r="F45" s="8" t="e">
        <f>+#REF!/7000</f>
        <v>#REF!</v>
      </c>
      <c r="G45" s="33" t="e">
        <f>+#REF!/7000</f>
        <v>#REF!</v>
      </c>
      <c r="H45" s="5" t="e">
        <f t="shared" si="0"/>
        <v>#REF!</v>
      </c>
    </row>
    <row r="46" spans="2:10" ht="30" hidden="1" x14ac:dyDescent="0.25">
      <c r="B46" s="6">
        <v>2</v>
      </c>
      <c r="C46" s="6">
        <v>540</v>
      </c>
      <c r="D46" s="10" t="s">
        <v>37</v>
      </c>
      <c r="E46" s="8" t="e">
        <f>+#REF!/7000</f>
        <v>#REF!</v>
      </c>
      <c r="F46" s="8" t="e">
        <f>+#REF!/7000</f>
        <v>#REF!</v>
      </c>
      <c r="G46" s="33" t="e">
        <f>+#REF!/7000</f>
        <v>#REF!</v>
      </c>
      <c r="H46" s="5" t="e">
        <f t="shared" si="0"/>
        <v>#REF!</v>
      </c>
    </row>
    <row r="47" spans="2:10" hidden="1" x14ac:dyDescent="0.25">
      <c r="B47" s="6">
        <v>2</v>
      </c>
      <c r="C47" s="6">
        <v>570</v>
      </c>
      <c r="D47" s="7" t="s">
        <v>35</v>
      </c>
      <c r="E47" s="8" t="e">
        <f>+#REF!/7000</f>
        <v>#REF!</v>
      </c>
      <c r="F47" s="8" t="e">
        <f>+#REF!/7000</f>
        <v>#REF!</v>
      </c>
      <c r="G47" s="33" t="e">
        <f>+#REF!/7000</f>
        <v>#REF!</v>
      </c>
      <c r="H47" s="5" t="e">
        <f t="shared" si="0"/>
        <v>#REF!</v>
      </c>
    </row>
    <row r="48" spans="2:10" s="4" customFormat="1" hidden="1" x14ac:dyDescent="0.25">
      <c r="B48" s="18">
        <v>1</v>
      </c>
      <c r="C48" s="18">
        <v>800</v>
      </c>
      <c r="D48" s="19" t="s">
        <v>11</v>
      </c>
      <c r="E48" s="20" t="e">
        <f>+#REF!/7000</f>
        <v>#REF!</v>
      </c>
      <c r="F48" s="20" t="e">
        <f>+#REF!/7000</f>
        <v>#REF!</v>
      </c>
      <c r="G48" s="34" t="e">
        <f>+#REF!/7000</f>
        <v>#REF!</v>
      </c>
      <c r="H48" s="21" t="e">
        <f t="shared" si="0"/>
        <v>#REF!</v>
      </c>
      <c r="J48" s="1"/>
    </row>
    <row r="49" spans="2:11" ht="30" hidden="1" x14ac:dyDescent="0.25">
      <c r="B49" s="6">
        <v>2</v>
      </c>
      <c r="C49" s="6">
        <v>840</v>
      </c>
      <c r="D49" s="11" t="s">
        <v>54</v>
      </c>
      <c r="E49" s="8" t="e">
        <f>+#REF!/7000</f>
        <v>#REF!</v>
      </c>
      <c r="F49" s="8" t="e">
        <f>+#REF!/7000</f>
        <v>#REF!</v>
      </c>
      <c r="G49" s="33" t="e">
        <f>+#REF!/7000</f>
        <v>#REF!</v>
      </c>
      <c r="H49" s="5" t="e">
        <f t="shared" si="0"/>
        <v>#REF!</v>
      </c>
    </row>
    <row r="50" spans="2:11" ht="30" hidden="1" x14ac:dyDescent="0.25">
      <c r="B50" s="6">
        <v>2</v>
      </c>
      <c r="C50" s="6">
        <v>850</v>
      </c>
      <c r="D50" s="11" t="s">
        <v>55</v>
      </c>
      <c r="E50" s="8" t="e">
        <f>+#REF!/7000</f>
        <v>#REF!</v>
      </c>
      <c r="F50" s="8" t="e">
        <f>+#REF!/7000</f>
        <v>#REF!</v>
      </c>
      <c r="G50" s="33" t="e">
        <f>+#REF!/7000</f>
        <v>#REF!</v>
      </c>
      <c r="H50" s="5" t="e">
        <f t="shared" si="0"/>
        <v>#REF!</v>
      </c>
    </row>
    <row r="51" spans="2:11" s="4" customFormat="1" hidden="1" x14ac:dyDescent="0.25">
      <c r="B51" s="13">
        <v>1</v>
      </c>
      <c r="C51" s="13">
        <v>900</v>
      </c>
      <c r="D51" s="14" t="s">
        <v>12</v>
      </c>
      <c r="E51" s="15" t="e">
        <f>+#REF!/7000</f>
        <v>#REF!</v>
      </c>
      <c r="F51" s="56" t="e">
        <f>+#REF!/7000</f>
        <v>#REF!</v>
      </c>
      <c r="G51" s="30" t="e">
        <f>+#REF!/7000</f>
        <v>#REF!</v>
      </c>
      <c r="H51" s="16" t="e">
        <f t="shared" si="0"/>
        <v>#REF!</v>
      </c>
      <c r="J51" s="1"/>
    </row>
    <row r="52" spans="2:11" ht="30" hidden="1" x14ac:dyDescent="0.25">
      <c r="B52" s="6">
        <v>2</v>
      </c>
      <c r="C52" s="6">
        <v>910</v>
      </c>
      <c r="D52" s="11" t="s">
        <v>34</v>
      </c>
      <c r="E52" s="8" t="e">
        <f>+#REF!/7000</f>
        <v>#REF!</v>
      </c>
      <c r="F52" s="55" t="e">
        <f>+#REF!/7000</f>
        <v>#REF!</v>
      </c>
      <c r="G52" s="33" t="e">
        <f>+#REF!/7000</f>
        <v>#REF!</v>
      </c>
      <c r="H52" s="5" t="e">
        <f t="shared" si="0"/>
        <v>#REF!</v>
      </c>
    </row>
    <row r="53" spans="2:11" hidden="1" x14ac:dyDescent="0.25"/>
    <row r="55" spans="2:11" x14ac:dyDescent="0.25">
      <c r="J55" s="35"/>
      <c r="K55" s="35"/>
    </row>
    <row r="56" spans="2:11" x14ac:dyDescent="0.25">
      <c r="J56" s="35" t="s">
        <v>15</v>
      </c>
      <c r="K56" s="35" t="s">
        <v>16</v>
      </c>
    </row>
    <row r="57" spans="2:11" ht="21" x14ac:dyDescent="0.35">
      <c r="B57" s="27" t="s">
        <v>17</v>
      </c>
      <c r="J57" s="35">
        <v>200</v>
      </c>
      <c r="K57" s="36">
        <v>19899359668</v>
      </c>
    </row>
    <row r="58" spans="2:11" ht="5.0999999999999996" customHeight="1" x14ac:dyDescent="0.35">
      <c r="B58" s="27"/>
      <c r="J58" s="37">
        <v>300</v>
      </c>
      <c r="K58" s="38">
        <v>5204279068</v>
      </c>
    </row>
    <row r="59" spans="2:11" ht="55.5" customHeight="1" x14ac:dyDescent="0.25">
      <c r="B59" s="1"/>
      <c r="C59" s="42" t="s">
        <v>1</v>
      </c>
      <c r="D59" s="42" t="s">
        <v>13</v>
      </c>
      <c r="E59" s="58" t="s">
        <v>27</v>
      </c>
      <c r="F59" s="42" t="s">
        <v>23</v>
      </c>
      <c r="G59" s="42" t="s">
        <v>28</v>
      </c>
      <c r="H59" s="82" t="s">
        <v>19</v>
      </c>
      <c r="I59" s="58" t="s">
        <v>22</v>
      </c>
      <c r="J59" s="58" t="s">
        <v>26</v>
      </c>
      <c r="K59" s="36">
        <v>3007381971</v>
      </c>
    </row>
    <row r="60" spans="2:11" ht="15.75" x14ac:dyDescent="0.25">
      <c r="B60" s="1"/>
      <c r="C60" s="50">
        <v>100</v>
      </c>
      <c r="D60" s="44" t="s">
        <v>7</v>
      </c>
      <c r="E60" s="45">
        <f>15433776</f>
        <v>15433776</v>
      </c>
      <c r="F60" s="45" t="e">
        <f>+E26</f>
        <v>#REF!</v>
      </c>
      <c r="G60" s="51" t="e">
        <f>+F26</f>
        <v>#REF!</v>
      </c>
      <c r="H60" s="83">
        <v>3239579.4226685795</v>
      </c>
      <c r="I60" s="46" t="e">
        <f t="shared" ref="I60:I67" si="1">+G60/$E$68</f>
        <v>#REF!</v>
      </c>
      <c r="J60" s="46" t="e">
        <f t="shared" ref="J60:J67" si="2">+G60/$F$68</f>
        <v>#REF!</v>
      </c>
      <c r="K60" s="39">
        <v>0</v>
      </c>
    </row>
    <row r="61" spans="2:11" ht="15.75" x14ac:dyDescent="0.25">
      <c r="B61" s="1"/>
      <c r="C61" s="50">
        <v>200</v>
      </c>
      <c r="D61" s="44" t="s">
        <v>8</v>
      </c>
      <c r="E61" s="45">
        <v>10213271</v>
      </c>
      <c r="F61" s="45" t="e">
        <f>+E30</f>
        <v>#REF!</v>
      </c>
      <c r="G61" s="51" t="e">
        <f>+F30</f>
        <v>#REF!</v>
      </c>
      <c r="H61" s="68">
        <f>+G30+468495</f>
        <v>3779755.6668571429</v>
      </c>
      <c r="I61" s="46" t="e">
        <f t="shared" si="1"/>
        <v>#REF!</v>
      </c>
      <c r="J61" s="46" t="e">
        <f t="shared" si="2"/>
        <v>#REF!</v>
      </c>
      <c r="K61" s="40">
        <f>+K57+K58+K59</f>
        <v>28111020707</v>
      </c>
    </row>
    <row r="62" spans="2:11" ht="15.75" x14ac:dyDescent="0.25">
      <c r="B62" s="1"/>
      <c r="C62" s="50">
        <v>300</v>
      </c>
      <c r="D62" s="44" t="s">
        <v>9</v>
      </c>
      <c r="E62" s="45">
        <v>2758597</v>
      </c>
      <c r="F62" s="45" t="e">
        <f>+E37</f>
        <v>#REF!</v>
      </c>
      <c r="G62" s="51" t="e">
        <f>+F37</f>
        <v>#REF!</v>
      </c>
      <c r="H62" s="68" t="e">
        <f>+G37</f>
        <v>#REF!</v>
      </c>
      <c r="I62" s="46" t="e">
        <f t="shared" si="1"/>
        <v>#REF!</v>
      </c>
      <c r="J62" s="46" t="e">
        <f t="shared" si="2"/>
        <v>#REF!</v>
      </c>
    </row>
    <row r="63" spans="2:11" ht="15.75" x14ac:dyDescent="0.25">
      <c r="B63" s="1"/>
      <c r="C63" s="50">
        <v>500</v>
      </c>
      <c r="D63" s="44" t="s">
        <v>10</v>
      </c>
      <c r="E63" s="45">
        <v>2943700</v>
      </c>
      <c r="F63" s="45" t="e">
        <f>+E44</f>
        <v>#REF!</v>
      </c>
      <c r="G63" s="51" t="e">
        <f>+F44</f>
        <v>#REF!</v>
      </c>
      <c r="H63" s="68" t="e">
        <f>+G44</f>
        <v>#REF!</v>
      </c>
      <c r="I63" s="46" t="e">
        <f t="shared" si="1"/>
        <v>#REF!</v>
      </c>
      <c r="J63" s="46" t="e">
        <f t="shared" si="2"/>
        <v>#REF!</v>
      </c>
    </row>
    <row r="64" spans="2:11" ht="15.75" x14ac:dyDescent="0.25">
      <c r="B64" s="1"/>
      <c r="C64" s="50">
        <v>800</v>
      </c>
      <c r="D64" s="44" t="s">
        <v>53</v>
      </c>
      <c r="E64" s="45">
        <v>7427466</v>
      </c>
      <c r="F64" s="45" t="e">
        <f>+E48</f>
        <v>#REF!</v>
      </c>
      <c r="G64" s="51" t="e">
        <f>+F48</f>
        <v>#REF!</v>
      </c>
      <c r="H64" s="68" t="e">
        <f>+G48</f>
        <v>#REF!</v>
      </c>
      <c r="I64" s="46" t="e">
        <f t="shared" si="1"/>
        <v>#REF!</v>
      </c>
      <c r="J64" s="46" t="e">
        <f t="shared" si="2"/>
        <v>#REF!</v>
      </c>
    </row>
    <row r="65" spans="2:10" ht="15.75" x14ac:dyDescent="0.25">
      <c r="B65" s="1"/>
      <c r="C65" s="59">
        <v>900</v>
      </c>
      <c r="D65" s="60" t="s">
        <v>12</v>
      </c>
      <c r="E65" s="61">
        <v>20516</v>
      </c>
      <c r="F65" s="61" t="e">
        <f>+E51</f>
        <v>#REF!</v>
      </c>
      <c r="G65" s="62">
        <v>0</v>
      </c>
      <c r="H65" s="69" t="e">
        <f>+G51</f>
        <v>#REF!</v>
      </c>
      <c r="I65" s="46">
        <f t="shared" si="1"/>
        <v>0</v>
      </c>
      <c r="J65" s="46" t="e">
        <f t="shared" si="2"/>
        <v>#REF!</v>
      </c>
    </row>
    <row r="66" spans="2:10" ht="15.75" x14ac:dyDescent="0.25">
      <c r="B66" s="1"/>
      <c r="C66" s="59"/>
      <c r="D66" s="60" t="s">
        <v>25</v>
      </c>
      <c r="E66" s="61">
        <v>600000</v>
      </c>
      <c r="F66" s="62">
        <v>0</v>
      </c>
      <c r="G66" s="62">
        <v>0</v>
      </c>
      <c r="H66" s="70">
        <v>0</v>
      </c>
      <c r="I66" s="46">
        <f t="shared" si="1"/>
        <v>0</v>
      </c>
      <c r="J66" s="46" t="e">
        <f t="shared" si="2"/>
        <v>#REF!</v>
      </c>
    </row>
    <row r="67" spans="2:10" ht="16.5" thickBot="1" x14ac:dyDescent="0.3">
      <c r="B67" s="1"/>
      <c r="C67" s="41"/>
      <c r="D67" s="41" t="s">
        <v>24</v>
      </c>
      <c r="E67" s="47">
        <v>3602674</v>
      </c>
      <c r="F67" s="52">
        <v>0</v>
      </c>
      <c r="G67" s="52">
        <v>0</v>
      </c>
      <c r="H67" s="71">
        <v>0</v>
      </c>
      <c r="I67" s="57">
        <f t="shared" si="1"/>
        <v>0</v>
      </c>
      <c r="J67" s="57" t="e">
        <f t="shared" si="2"/>
        <v>#REF!</v>
      </c>
    </row>
    <row r="68" spans="2:10" ht="15.75" x14ac:dyDescent="0.25">
      <c r="C68" s="43"/>
      <c r="D68" s="48" t="s">
        <v>14</v>
      </c>
      <c r="E68" s="49">
        <f t="shared" ref="E68:J68" si="3">SUM(E60:E67)</f>
        <v>43000000</v>
      </c>
      <c r="F68" s="49" t="e">
        <f t="shared" si="3"/>
        <v>#REF!</v>
      </c>
      <c r="G68" s="49" t="e">
        <f t="shared" si="3"/>
        <v>#REF!</v>
      </c>
      <c r="H68" s="72" t="e">
        <f t="shared" si="3"/>
        <v>#REF!</v>
      </c>
      <c r="I68" s="64" t="e">
        <f t="shared" si="3"/>
        <v>#REF!</v>
      </c>
      <c r="J68" s="64" t="e">
        <f t="shared" si="3"/>
        <v>#REF!</v>
      </c>
    </row>
    <row r="69" spans="2:10" ht="15.75" x14ac:dyDescent="0.25">
      <c r="C69" s="54" t="s">
        <v>29</v>
      </c>
      <c r="D69" s="48"/>
      <c r="E69" s="49"/>
      <c r="F69" s="49"/>
      <c r="G69" s="49"/>
      <c r="H69" s="49"/>
      <c r="I69" s="64"/>
      <c r="J69" s="64"/>
    </row>
    <row r="70" spans="2:10" x14ac:dyDescent="0.25">
      <c r="C70" s="54" t="s">
        <v>30</v>
      </c>
      <c r="E70" s="2"/>
      <c r="F70" s="29"/>
      <c r="H70" s="29"/>
    </row>
    <row r="71" spans="2:10" x14ac:dyDescent="0.25">
      <c r="C71" s="3" t="s">
        <v>32</v>
      </c>
      <c r="E71" s="29"/>
    </row>
    <row r="72" spans="2:10" x14ac:dyDescent="0.25">
      <c r="E72" s="29"/>
    </row>
    <row r="73" spans="2:10" ht="15.75" x14ac:dyDescent="0.25">
      <c r="D73" s="65" t="s">
        <v>20</v>
      </c>
      <c r="E73" s="66">
        <v>43000000</v>
      </c>
    </row>
    <row r="74" spans="2:10" ht="15.75" x14ac:dyDescent="0.25">
      <c r="D74" s="65" t="s">
        <v>31</v>
      </c>
      <c r="E74" s="66" t="e">
        <f>+G68</f>
        <v>#REF!</v>
      </c>
    </row>
    <row r="75" spans="2:10" ht="15.75" x14ac:dyDescent="0.25">
      <c r="D75" s="65" t="s">
        <v>21</v>
      </c>
      <c r="E75" s="67" t="e">
        <f>+E74/E73</f>
        <v>#REF!</v>
      </c>
    </row>
    <row r="78" spans="2:10" x14ac:dyDescent="0.25">
      <c r="I78" s="63"/>
    </row>
    <row r="109" spans="3:8" ht="63" x14ac:dyDescent="0.25">
      <c r="C109" s="42" t="s">
        <v>1</v>
      </c>
      <c r="D109" s="42" t="s">
        <v>13</v>
      </c>
      <c r="E109" s="58" t="s">
        <v>27</v>
      </c>
      <c r="F109" s="42" t="s">
        <v>28</v>
      </c>
      <c r="G109" s="42" t="s">
        <v>19</v>
      </c>
      <c r="H109" s="58" t="s">
        <v>22</v>
      </c>
    </row>
    <row r="110" spans="3:8" ht="15.75" x14ac:dyDescent="0.25">
      <c r="C110" s="50">
        <v>100</v>
      </c>
      <c r="D110" s="44" t="s">
        <v>7</v>
      </c>
      <c r="E110" s="45">
        <f>15433776</f>
        <v>15433776</v>
      </c>
      <c r="F110" s="51">
        <v>4406982.3168571433</v>
      </c>
      <c r="G110" s="68">
        <v>3239579.4226685795</v>
      </c>
      <c r="H110" s="46">
        <f>+F110/$E$118</f>
        <v>0.10248796085714287</v>
      </c>
    </row>
    <row r="111" spans="3:8" ht="15.75" x14ac:dyDescent="0.25">
      <c r="C111" s="50">
        <v>200</v>
      </c>
      <c r="D111" s="44" t="s">
        <v>8</v>
      </c>
      <c r="E111" s="45">
        <v>10213271</v>
      </c>
      <c r="F111" s="51">
        <v>3164923.746857143</v>
      </c>
      <c r="G111" s="68">
        <v>3311260.6668571429</v>
      </c>
      <c r="H111" s="46">
        <f t="shared" ref="H111:H117" si="4">+F111/$E$118</f>
        <v>7.360287783388704E-2</v>
      </c>
    </row>
    <row r="112" spans="3:8" ht="15.75" x14ac:dyDescent="0.25">
      <c r="C112" s="50">
        <v>300</v>
      </c>
      <c r="D112" s="44" t="s">
        <v>9</v>
      </c>
      <c r="E112" s="45">
        <v>2758597</v>
      </c>
      <c r="F112" s="51">
        <v>1804025.6312857142</v>
      </c>
      <c r="G112" s="68">
        <v>743468.43828571425</v>
      </c>
      <c r="H112" s="46">
        <f t="shared" si="4"/>
        <v>4.1954084448504979E-2</v>
      </c>
    </row>
    <row r="113" spans="3:10" ht="15.75" x14ac:dyDescent="0.25">
      <c r="C113" s="50">
        <v>500</v>
      </c>
      <c r="D113" s="44" t="s">
        <v>10</v>
      </c>
      <c r="E113" s="45">
        <v>2943700</v>
      </c>
      <c r="F113" s="51">
        <v>1422779.0644285714</v>
      </c>
      <c r="G113" s="68">
        <v>429625.99585714284</v>
      </c>
      <c r="H113" s="46">
        <f t="shared" si="4"/>
        <v>3.30878852192691E-2</v>
      </c>
    </row>
    <row r="114" spans="3:10" ht="15.75" x14ac:dyDescent="0.25">
      <c r="C114" s="50">
        <v>800</v>
      </c>
      <c r="D114" s="44" t="s">
        <v>53</v>
      </c>
      <c r="E114" s="45">
        <v>7427466</v>
      </c>
      <c r="F114" s="51">
        <v>7262479.7120000003</v>
      </c>
      <c r="G114" s="68">
        <v>0</v>
      </c>
      <c r="H114" s="46">
        <f t="shared" si="4"/>
        <v>0.16889487702325581</v>
      </c>
    </row>
    <row r="115" spans="3:10" ht="15.75" x14ac:dyDescent="0.25">
      <c r="C115" s="59">
        <v>900</v>
      </c>
      <c r="D115" s="60" t="s">
        <v>12</v>
      </c>
      <c r="E115" s="61">
        <v>20516</v>
      </c>
      <c r="F115" s="62">
        <v>0</v>
      </c>
      <c r="G115" s="69">
        <v>0</v>
      </c>
      <c r="H115" s="46">
        <f t="shared" si="4"/>
        <v>0</v>
      </c>
    </row>
    <row r="116" spans="3:10" ht="15.75" x14ac:dyDescent="0.25">
      <c r="C116" s="59"/>
      <c r="D116" s="60" t="s">
        <v>25</v>
      </c>
      <c r="E116" s="61">
        <v>600000</v>
      </c>
      <c r="F116" s="62">
        <v>0</v>
      </c>
      <c r="G116" s="70">
        <v>0</v>
      </c>
      <c r="H116" s="46">
        <f t="shared" si="4"/>
        <v>0</v>
      </c>
    </row>
    <row r="117" spans="3:10" ht="16.5" thickBot="1" x14ac:dyDescent="0.3">
      <c r="C117" s="41"/>
      <c r="D117" s="41" t="s">
        <v>24</v>
      </c>
      <c r="E117" s="47">
        <v>3602674</v>
      </c>
      <c r="F117" s="52">
        <v>0</v>
      </c>
      <c r="G117" s="71">
        <v>0</v>
      </c>
      <c r="H117" s="57">
        <f t="shared" si="4"/>
        <v>0</v>
      </c>
    </row>
    <row r="118" spans="3:10" ht="15.75" x14ac:dyDescent="0.25">
      <c r="C118" s="43"/>
      <c r="D118" s="48" t="s">
        <v>14</v>
      </c>
      <c r="E118" s="49">
        <f>SUM(E110:E117)</f>
        <v>43000000</v>
      </c>
      <c r="F118" s="49">
        <f>SUM(F110:F117)</f>
        <v>18061190.471428573</v>
      </c>
      <c r="G118" s="72">
        <f>SUM(G110:G117)</f>
        <v>7723934.5236685788</v>
      </c>
      <c r="H118" s="73">
        <f>SUM(H110:H117)</f>
        <v>0.42002768538205981</v>
      </c>
      <c r="J118" s="74"/>
    </row>
  </sheetData>
  <autoFilter ref="A24:H52">
    <filterColumn colId="1">
      <filters>
        <filter val="1"/>
      </filters>
    </filterColumn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b)</vt:lpstr>
      <vt:lpstr>c)</vt:lpstr>
      <vt:lpstr>babase</vt:lpstr>
      <vt:lpstr>'b)'!Área_de_impresión</vt:lpstr>
      <vt:lpstr>'c)'!Área_de_impresión</vt:lpstr>
      <vt:lpstr>'c)'!Títulos_a_imprimir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</dc:creator>
  <cp:lastModifiedBy>Nelly Acosta</cp:lastModifiedBy>
  <cp:lastPrinted>2022-12-22T20:14:37Z</cp:lastPrinted>
  <dcterms:created xsi:type="dcterms:W3CDTF">2022-11-11T14:58:58Z</dcterms:created>
  <dcterms:modified xsi:type="dcterms:W3CDTF">2022-12-22T23:17:42Z</dcterms:modified>
</cp:coreProperties>
</file>