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8" i="1" l="1"/>
  <c r="C8" i="1" s="1"/>
  <c r="F8" i="1"/>
  <c r="G8" i="1"/>
  <c r="H8" i="1"/>
  <c r="I8" i="1"/>
  <c r="J8" i="1"/>
  <c r="K8" i="1"/>
  <c r="L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E35" i="1"/>
  <c r="F35" i="1"/>
  <c r="G35" i="1"/>
  <c r="K35" i="1"/>
  <c r="H37" i="1"/>
  <c r="H35" i="1" s="1"/>
  <c r="I37" i="1"/>
  <c r="I35" i="1" s="1"/>
  <c r="J37" i="1"/>
  <c r="J35" i="1" s="1"/>
  <c r="L37" i="1"/>
  <c r="H38" i="1"/>
  <c r="C38" i="1" s="1"/>
  <c r="I38" i="1"/>
  <c r="L38" i="1"/>
  <c r="L35" i="1" s="1"/>
  <c r="H39" i="1"/>
  <c r="C39" i="1" s="1"/>
  <c r="I39" i="1"/>
  <c r="L39" i="1"/>
  <c r="H40" i="1"/>
  <c r="C40" i="1" s="1"/>
  <c r="I40" i="1"/>
  <c r="L40" i="1"/>
  <c r="H41" i="1"/>
  <c r="C41" i="1" s="1"/>
  <c r="I41" i="1"/>
  <c r="L41" i="1"/>
  <c r="H42" i="1"/>
  <c r="C42" i="1" s="1"/>
  <c r="I42" i="1"/>
  <c r="L42" i="1"/>
  <c r="H43" i="1"/>
  <c r="C43" i="1" s="1"/>
  <c r="I43" i="1"/>
  <c r="L43" i="1"/>
  <c r="H44" i="1"/>
  <c r="C44" i="1" s="1"/>
  <c r="I44" i="1"/>
  <c r="J44" i="1"/>
  <c r="L44" i="1"/>
  <c r="C45" i="1"/>
  <c r="H45" i="1"/>
  <c r="I45" i="1"/>
  <c r="L45" i="1"/>
  <c r="H46" i="1"/>
  <c r="I46" i="1"/>
  <c r="C46" i="1" s="1"/>
  <c r="L46" i="1"/>
  <c r="C47" i="1"/>
  <c r="H48" i="1"/>
  <c r="C48" i="1" s="1"/>
  <c r="I48" i="1"/>
  <c r="J48" i="1"/>
  <c r="L48" i="1"/>
  <c r="H49" i="1"/>
  <c r="C49" i="1" s="1"/>
  <c r="I49" i="1"/>
  <c r="L49" i="1"/>
  <c r="H50" i="1"/>
  <c r="C50" i="1" s="1"/>
  <c r="I50" i="1"/>
  <c r="L50" i="1"/>
  <c r="H51" i="1"/>
  <c r="C51" i="1" s="1"/>
  <c r="I51" i="1"/>
  <c r="J51" i="1"/>
  <c r="L51" i="1"/>
  <c r="C52" i="1"/>
  <c r="H52" i="1"/>
  <c r="I52" i="1"/>
  <c r="L52" i="1"/>
  <c r="H53" i="1"/>
  <c r="C53" i="1" s="1"/>
  <c r="I53" i="1"/>
  <c r="J53" i="1"/>
  <c r="L53" i="1"/>
  <c r="C54" i="1"/>
  <c r="I54" i="1"/>
  <c r="L54" i="1"/>
  <c r="H55" i="1"/>
  <c r="C55" i="1" s="1"/>
  <c r="C35" i="1" l="1"/>
  <c r="C37" i="1"/>
</calcChain>
</file>

<file path=xl/sharedStrings.xml><?xml version="1.0" encoding="utf-8"?>
<sst xmlns="http://schemas.openxmlformats.org/spreadsheetml/2006/main" count="75" uniqueCount="44">
  <si>
    <t xml:space="preserve">Fuente: Corte Suprema de Justicia. Dirección del Registro de Automotores. </t>
  </si>
  <si>
    <t xml:space="preserve">              - Varios: Jeep, tráiler y otros tipos de vehículos diferentes a la clasificación del cuadro.</t>
  </si>
  <si>
    <t xml:space="preserve">                 monta cargas, tractores y maquinarias agrícolas.</t>
  </si>
  <si>
    <t xml:space="preserve">              - Maquinarias: Aplanadoras, excavadoras, topadoras, moto niveladoras, compactadoras,</t>
  </si>
  <si>
    <t xml:space="preserve">              - Acoplados: Acoplados, semi remolques y carretas.</t>
  </si>
  <si>
    <t xml:space="preserve">              - Ómnibus: Ómnibus y mini bus.</t>
  </si>
  <si>
    <t xml:space="preserve">              - Camiones: Camiones, grúas y tracto camiones.</t>
  </si>
  <si>
    <t xml:space="preserve">              - Camionetas: Camionetas y furgones.</t>
  </si>
  <si>
    <t xml:space="preserve">              - Automóviles: Automóviles y stations wagons.</t>
  </si>
  <si>
    <t>Referencia:</t>
  </si>
  <si>
    <t>No reportado</t>
  </si>
  <si>
    <t xml:space="preserve">Alto Paraguay </t>
  </si>
  <si>
    <t xml:space="preserve">Boquerón </t>
  </si>
  <si>
    <t xml:space="preserve">Pdte. Hayes </t>
  </si>
  <si>
    <t xml:space="preserve">Canindeyú </t>
  </si>
  <si>
    <t xml:space="preserve">Amambay </t>
  </si>
  <si>
    <t xml:space="preserve">Ñeembucú </t>
  </si>
  <si>
    <t xml:space="preserve">Central </t>
  </si>
  <si>
    <t xml:space="preserve">Alto Paraná  </t>
  </si>
  <si>
    <t xml:space="preserve">Paraguarí </t>
  </si>
  <si>
    <t xml:space="preserve">Misiones </t>
  </si>
  <si>
    <t xml:space="preserve">Itapúa </t>
  </si>
  <si>
    <t xml:space="preserve">Caazapá </t>
  </si>
  <si>
    <t xml:space="preserve">Caaguazú </t>
  </si>
  <si>
    <t xml:space="preserve">Guairá </t>
  </si>
  <si>
    <t xml:space="preserve">Cordillera </t>
  </si>
  <si>
    <t xml:space="preserve">San Pedro </t>
  </si>
  <si>
    <t xml:space="preserve">Concepción </t>
  </si>
  <si>
    <t xml:space="preserve">Asunción </t>
  </si>
  <si>
    <t>TOTAL</t>
  </si>
  <si>
    <t>Varios</t>
  </si>
  <si>
    <t>Motos</t>
  </si>
  <si>
    <t>Maquinarias</t>
  </si>
  <si>
    <t>Acoplados</t>
  </si>
  <si>
    <t>Ómnibus</t>
  </si>
  <si>
    <t>Camiones</t>
  </si>
  <si>
    <t>Camionetas</t>
  </si>
  <si>
    <t>Automóviles</t>
  </si>
  <si>
    <t>Clase de vehículo</t>
  </si>
  <si>
    <t>Total</t>
  </si>
  <si>
    <t xml:space="preserve">Departamento </t>
  </si>
  <si>
    <t>Año 2021</t>
  </si>
  <si>
    <t>Año 2020</t>
  </si>
  <si>
    <t>2.5.3. Parque automotor registrado por clase de vehículo, según departamento.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</si>
</sst>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1" fillId="0" borderId="0"/>
    <xf numFmtId="0" fontId="21" fillId="0" borderId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5" borderId="0" applyNumberFormat="0" applyBorder="0" applyAlignment="0" applyProtection="0"/>
    <xf numFmtId="164" fontId="37" fillId="35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6" borderId="0" applyNumberFormat="0" applyBorder="0" applyAlignment="0" applyProtection="0"/>
    <xf numFmtId="164" fontId="37" fillId="36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8" borderId="0" applyNumberFormat="0" applyBorder="0" applyAlignment="0" applyProtection="0"/>
    <xf numFmtId="164" fontId="37" fillId="38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39" borderId="0" applyNumberFormat="0" applyBorder="0" applyAlignment="0" applyProtection="0"/>
    <xf numFmtId="164" fontId="37" fillId="39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37" borderId="0" applyNumberFormat="0" applyBorder="0" applyAlignment="0" applyProtection="0"/>
    <xf numFmtId="164" fontId="37" fillId="37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0" borderId="0" applyNumberFormat="0" applyBorder="0" applyAlignment="0" applyProtection="0"/>
    <xf numFmtId="164" fontId="37" fillId="40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7" fillId="43" borderId="0" applyNumberFormat="0" applyBorder="0" applyAlignment="0" applyProtection="0"/>
    <xf numFmtId="164" fontId="37" fillId="43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164" fontId="17" fillId="12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4" borderId="0" applyNumberFormat="0" applyBorder="0" applyAlignment="0" applyProtection="0"/>
    <xf numFmtId="164" fontId="38" fillId="44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164" fontId="17" fillId="16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1" borderId="0" applyNumberFormat="0" applyBorder="0" applyAlignment="0" applyProtection="0"/>
    <xf numFmtId="164" fontId="38" fillId="41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164" fontId="17" fillId="20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2" borderId="0" applyNumberFormat="0" applyBorder="0" applyAlignment="0" applyProtection="0"/>
    <xf numFmtId="164" fontId="38" fillId="42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164" fontId="17" fillId="24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164" fontId="17" fillId="28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164" fontId="17" fillId="32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38" fillId="47" borderId="0" applyNumberFormat="0" applyBorder="0" applyAlignment="0" applyProtection="0"/>
    <xf numFmtId="164" fontId="3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164" fontId="6" fillId="2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0" fillId="36" borderId="0" applyNumberFormat="0" applyBorder="0" applyAlignment="0" applyProtection="0"/>
    <xf numFmtId="164" fontId="40" fillId="36" borderId="0" applyNumberFormat="0" applyBorder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164" fontId="11" fillId="6" borderId="4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1" fillId="48" borderId="12" applyNumberFormat="0" applyAlignment="0" applyProtection="0"/>
    <xf numFmtId="164" fontId="41" fillId="48" borderId="12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164" fontId="13" fillId="7" borderId="7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2" fillId="49" borderId="13" applyNumberFormat="0" applyAlignment="0" applyProtection="0"/>
    <xf numFmtId="164" fontId="42" fillId="49" borderId="13" applyNumberFormat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164" fontId="12" fillId="0" borderId="6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0" fontId="43" fillId="0" borderId="14" applyNumberFormat="0" applyFill="0" applyAlignment="0" applyProtection="0"/>
    <xf numFmtId="164" fontId="43" fillId="0" borderId="14" applyNumberFormat="0" applyFill="0" applyAlignment="0" applyProtection="0"/>
    <xf numFmtId="165" fontId="21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164" fontId="17" fillId="9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0" borderId="0" applyNumberFormat="0" applyBorder="0" applyAlignment="0" applyProtection="0"/>
    <xf numFmtId="164" fontId="38" fillId="50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164" fontId="17" fillId="13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1" borderId="0" applyNumberFormat="0" applyBorder="0" applyAlignment="0" applyProtection="0"/>
    <xf numFmtId="164" fontId="38" fillId="51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164" fontId="17" fillId="17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52" borderId="0" applyNumberFormat="0" applyBorder="0" applyAlignment="0" applyProtection="0"/>
    <xf numFmtId="164" fontId="38" fillId="52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164" fontId="17" fillId="21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5" borderId="0" applyNumberFormat="0" applyBorder="0" applyAlignment="0" applyProtection="0"/>
    <xf numFmtId="164" fontId="38" fillId="45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164" fontId="17" fillId="25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46" borderId="0" applyNumberFormat="0" applyBorder="0" applyAlignment="0" applyProtection="0"/>
    <xf numFmtId="164" fontId="38" fillId="46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164" fontId="17" fillId="29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8" fillId="53" borderId="0" applyNumberFormat="0" applyBorder="0" applyAlignment="0" applyProtection="0"/>
    <xf numFmtId="164" fontId="38" fillId="53" borderId="0" applyNumberFormat="0" applyBorder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164" fontId="9" fillId="5" borderId="4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39" fillId="39" borderId="12" applyNumberFormat="0" applyAlignment="0" applyProtection="0"/>
    <xf numFmtId="164" fontId="39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ont="0" applyFill="0" applyBorder="0" applyAlignment="0" applyProtection="0"/>
    <xf numFmtId="0" fontId="45" fillId="54" borderId="0" applyNumberFormat="0" applyFont="0" applyBorder="0" applyProtection="0"/>
    <xf numFmtId="172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164" fontId="7" fillId="3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0" fontId="51" fillId="35" borderId="0" applyNumberFormat="0" applyBorder="0" applyAlignment="0" applyProtection="0"/>
    <xf numFmtId="164" fontId="51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1" fillId="0" borderId="0" applyFill="0" applyBorder="0" applyAlignment="0" applyProtection="0"/>
    <xf numFmtId="173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ill="0" applyBorder="0" applyAlignment="0" applyProtection="0"/>
    <xf numFmtId="174" fontId="29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174" fontId="52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6" fontId="21" fillId="0" borderId="0" applyFill="0" applyBorder="0" applyAlignment="0" applyProtection="0"/>
    <xf numFmtId="173" fontId="21" fillId="0" borderId="0" applyFill="0" applyBorder="0" applyAlignment="0" applyProtection="0"/>
    <xf numFmtId="41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46" fillId="0" borderId="0" applyFont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1" fillId="0" borderId="0" applyFill="0" applyBorder="0" applyAlignment="0" applyProtection="0"/>
    <xf numFmtId="181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54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52" fillId="0" borderId="0" applyFont="0" applyFill="0" applyBorder="0" applyAlignment="0" applyProtection="0"/>
    <xf numFmtId="186" fontId="37" fillId="0" borderId="0" applyFont="0" applyFill="0" applyBorder="0" applyAlignment="0" applyProtection="0"/>
    <xf numFmtId="177" fontId="52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21" fillId="0" borderId="0" applyFill="0" applyBorder="0" applyAlignment="0" applyProtection="0"/>
    <xf numFmtId="188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18" fillId="0" borderId="0" applyNumberFormat="0" applyBorder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8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164" fontId="8" fillId="4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55" fillId="55" borderId="0" applyNumberFormat="0" applyBorder="0" applyAlignment="0" applyProtection="0"/>
    <xf numFmtId="164" fontId="55" fillId="55" borderId="0" applyNumberFormat="0" applyBorder="0" applyAlignment="0" applyProtection="0"/>
    <xf numFmtId="0" fontId="37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21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37" fontId="5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4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9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0" fontId="37" fillId="0" borderId="0"/>
    <xf numFmtId="37" fontId="54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7" fillId="0" borderId="0"/>
    <xf numFmtId="37" fontId="54" fillId="0" borderId="0"/>
    <xf numFmtId="0" fontId="21" fillId="0" borderId="0"/>
    <xf numFmtId="0" fontId="37" fillId="0" borderId="0"/>
    <xf numFmtId="37" fontId="54" fillId="0" borderId="0"/>
    <xf numFmtId="0" fontId="21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54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56" fillId="0" borderId="0"/>
    <xf numFmtId="37" fontId="54" fillId="0" borderId="0"/>
    <xf numFmtId="0" fontId="1" fillId="0" borderId="0"/>
    <xf numFmtId="192" fontId="56" fillId="0" borderId="0"/>
    <xf numFmtId="37" fontId="54" fillId="0" borderId="0"/>
    <xf numFmtId="193" fontId="56" fillId="0" borderId="0"/>
    <xf numFmtId="192" fontId="56" fillId="0" borderId="0"/>
    <xf numFmtId="37" fontId="54" fillId="0" borderId="0"/>
    <xf numFmtId="193" fontId="56" fillId="0" borderId="0"/>
    <xf numFmtId="192" fontId="56" fillId="0" borderId="0"/>
    <xf numFmtId="37" fontId="54" fillId="0" borderId="0"/>
    <xf numFmtId="193" fontId="56" fillId="0" borderId="0"/>
    <xf numFmtId="37" fontId="54" fillId="0" borderId="0"/>
    <xf numFmtId="193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37" fillId="0" borderId="0"/>
    <xf numFmtId="0" fontId="2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5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56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5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4" fillId="0" borderId="0"/>
    <xf numFmtId="37" fontId="54" fillId="0" borderId="0"/>
    <xf numFmtId="37" fontId="54" fillId="0" borderId="0"/>
    <xf numFmtId="0" fontId="57" fillId="0" borderId="0"/>
    <xf numFmtId="0" fontId="21" fillId="0" borderId="0"/>
    <xf numFmtId="0" fontId="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4" fontId="37" fillId="0" borderId="0"/>
    <xf numFmtId="0" fontId="29" fillId="0" borderId="0" applyNumberFormat="0" applyFill="0" applyBorder="0" applyAlignment="0" applyProtection="0"/>
    <xf numFmtId="192" fontId="5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192" fontId="5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93" fontId="56" fillId="0" borderId="0"/>
    <xf numFmtId="192" fontId="56" fillId="0" borderId="0"/>
    <xf numFmtId="37" fontId="54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37" fontId="54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9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9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4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4" fontId="37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9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0" fontId="4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4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4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164" fontId="37" fillId="8" borderId="8" applyNumberFormat="0" applyFont="0" applyAlignment="0" applyProtection="0"/>
    <xf numFmtId="164" fontId="37" fillId="8" borderId="8" applyNumberFormat="0" applyFont="0" applyAlignment="0" applyProtection="0"/>
    <xf numFmtId="164" fontId="37" fillId="8" borderId="8" applyNumberFormat="0" applyFont="0" applyAlignment="0" applyProtection="0"/>
    <xf numFmtId="164" fontId="21" fillId="56" borderId="15" applyNumberFormat="0" applyFont="0" applyAlignment="0" applyProtection="0"/>
    <xf numFmtId="164" fontId="21" fillId="56" borderId="15" applyNumberFormat="0" applyFont="0" applyAlignment="0" applyProtection="0"/>
    <xf numFmtId="164" fontId="21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0" fontId="37" fillId="56" borderId="15" applyNumberFormat="0" applyFont="0" applyAlignment="0" applyProtection="0"/>
    <xf numFmtId="164" fontId="37" fillId="56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164" fontId="10" fillId="6" borderId="5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65" fillId="48" borderId="16" applyNumberFormat="0" applyAlignment="0" applyProtection="0"/>
    <xf numFmtId="164" fontId="6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164" fontId="3" fillId="0" borderId="1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69" fillId="0" borderId="17" applyNumberFormat="0" applyFill="0" applyAlignment="0" applyProtection="0"/>
    <xf numFmtId="164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164" fontId="4" fillId="0" borderId="2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1" fillId="0" borderId="18" applyNumberFormat="0" applyFill="0" applyAlignment="0" applyProtection="0"/>
    <xf numFmtId="164" fontId="71" fillId="0" borderId="18" applyNumberFormat="0" applyFill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164" fontId="5" fillId="0" borderId="3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4" fillId="0" borderId="19" applyNumberFormat="0" applyFill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NumberFormat="0" applyFill="0" applyBorder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164" fontId="16" fillId="0" borderId="9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  <xf numFmtId="0" fontId="72" fillId="0" borderId="20" applyNumberFormat="0" applyFill="0" applyAlignment="0" applyProtection="0"/>
    <xf numFmtId="164" fontId="72" fillId="0" borderId="20" applyNumberFormat="0" applyFill="0" applyAlignment="0" applyProtection="0"/>
  </cellStyleXfs>
  <cellXfs count="45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0" fillId="0" borderId="0" xfId="2" applyFont="1"/>
    <xf numFmtId="3" fontId="22" fillId="0" borderId="0" xfId="1" applyNumberFormat="1" applyFont="1" applyFill="1" applyAlignment="1"/>
    <xf numFmtId="1" fontId="23" fillId="0" borderId="0" xfId="3" applyNumberFormat="1" applyFont="1" applyFill="1"/>
    <xf numFmtId="1" fontId="24" fillId="0" borderId="0" xfId="3" applyNumberFormat="1" applyFont="1" applyFill="1" applyAlignment="1">
      <alignment horizontal="left"/>
    </xf>
    <xf numFmtId="1" fontId="24" fillId="0" borderId="0" xfId="3" applyNumberFormat="1" applyFont="1" applyFill="1"/>
    <xf numFmtId="0" fontId="25" fillId="0" borderId="0" xfId="1" applyFont="1" applyFill="1"/>
    <xf numFmtId="0" fontId="26" fillId="0" borderId="0" xfId="1" applyFont="1" applyFill="1" applyBorder="1" applyAlignment="1">
      <alignment vertical="center"/>
    </xf>
    <xf numFmtId="0" fontId="27" fillId="0" borderId="0" xfId="1" applyFont="1" applyFill="1" applyAlignment="1"/>
    <xf numFmtId="0" fontId="27" fillId="0" borderId="0" xfId="1" applyFont="1" applyFill="1"/>
    <xf numFmtId="0" fontId="28" fillId="0" borderId="0" xfId="1" applyFont="1" applyFill="1"/>
    <xf numFmtId="3" fontId="27" fillId="0" borderId="0" xfId="1" applyNumberFormat="1" applyFont="1" applyFill="1"/>
    <xf numFmtId="0" fontId="27" fillId="0" borderId="0" xfId="1" applyFont="1" applyFill="1" applyBorder="1"/>
    <xf numFmtId="0" fontId="29" fillId="0" borderId="0" xfId="1" applyFont="1" applyFill="1"/>
    <xf numFmtId="3" fontId="20" fillId="0" borderId="0" xfId="1" applyNumberFormat="1" applyFont="1" applyFill="1" applyAlignment="1"/>
    <xf numFmtId="0" fontId="29" fillId="0" borderId="0" xfId="1" applyFont="1" applyFill="1" applyBorder="1"/>
    <xf numFmtId="0" fontId="20" fillId="0" borderId="10" xfId="1" applyFont="1" applyFill="1" applyBorder="1"/>
    <xf numFmtId="3" fontId="20" fillId="0" borderId="10" xfId="1" applyNumberFormat="1" applyFont="1" applyFill="1" applyBorder="1" applyAlignment="1"/>
    <xf numFmtId="3" fontId="20" fillId="0" borderId="0" xfId="1" applyNumberFormat="1" applyFont="1" applyFill="1" applyAlignment="1">
      <alignment horizontal="right" indent="1"/>
    </xf>
    <xf numFmtId="3" fontId="20" fillId="0" borderId="0" xfId="1" applyNumberFormat="1" applyFont="1" applyFill="1" applyBorder="1" applyAlignment="1">
      <alignment horizontal="right" indent="1"/>
    </xf>
    <xf numFmtId="3" fontId="20" fillId="0" borderId="0" xfId="1" applyNumberFormat="1" applyFont="1" applyFill="1" applyBorder="1" applyAlignment="1">
      <alignment horizontal="left" vertical="center" wrapText="1" indent="1"/>
    </xf>
    <xf numFmtId="3" fontId="30" fillId="0" borderId="0" xfId="1" applyNumberFormat="1" applyFont="1" applyFill="1" applyBorder="1" applyAlignment="1">
      <alignment horizontal="right" indent="1"/>
    </xf>
    <xf numFmtId="3" fontId="30" fillId="0" borderId="0" xfId="1" applyNumberFormat="1" applyFont="1" applyFill="1" applyBorder="1" applyAlignment="1">
      <alignment horizontal="left" vertical="center" wrapText="1" indent="1"/>
    </xf>
    <xf numFmtId="0" fontId="30" fillId="0" borderId="0" xfId="1" applyFont="1" applyFill="1" applyAlignment="1">
      <alignment horizontal="left" indent="1"/>
    </xf>
    <xf numFmtId="0" fontId="20" fillId="0" borderId="0" xfId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right"/>
    </xf>
    <xf numFmtId="3" fontId="30" fillId="0" borderId="0" xfId="1" applyNumberFormat="1" applyFont="1" applyFill="1" applyBorder="1" applyAlignment="1">
      <alignment horizontal="left" vertical="center" wrapText="1" indent="5"/>
    </xf>
    <xf numFmtId="0" fontId="31" fillId="33" borderId="0" xfId="1" applyFont="1" applyFill="1" applyBorder="1" applyAlignment="1">
      <alignment horizontal="center" vertical="center" wrapText="1"/>
    </xf>
    <xf numFmtId="0" fontId="31" fillId="0" borderId="0" xfId="1" applyFont="1" applyFill="1"/>
    <xf numFmtId="0" fontId="31" fillId="0" borderId="0" xfId="1" applyFont="1" applyFill="1" applyAlignment="1">
      <alignment horizontal="left" indent="1"/>
    </xf>
    <xf numFmtId="3" fontId="20" fillId="0" borderId="0" xfId="1" applyNumberFormat="1" applyFont="1" applyFill="1" applyBorder="1" applyAlignment="1">
      <alignment horizontal="left" vertical="center" wrapText="1" indent="5"/>
    </xf>
    <xf numFmtId="3" fontId="20" fillId="0" borderId="10" xfId="1" applyNumberFormat="1" applyFont="1" applyFill="1" applyBorder="1" applyAlignment="1">
      <alignment horizontal="left" indent="5"/>
    </xf>
    <xf numFmtId="3" fontId="20" fillId="0" borderId="0" xfId="1" applyNumberFormat="1" applyFont="1" applyAlignment="1">
      <alignment horizontal="right" indent="1"/>
    </xf>
    <xf numFmtId="0" fontId="32" fillId="0" borderId="0" xfId="1" applyFont="1" applyFill="1"/>
    <xf numFmtId="0" fontId="33" fillId="0" borderId="0" xfId="1" applyFont="1" applyFill="1"/>
    <xf numFmtId="0" fontId="34" fillId="0" borderId="0" xfId="1" applyFont="1" applyFill="1" applyBorder="1"/>
    <xf numFmtId="3" fontId="34" fillId="0" borderId="0" xfId="1" applyNumberFormat="1" applyFont="1" applyFill="1" applyBorder="1" applyAlignment="1">
      <alignment horizontal="right"/>
    </xf>
    <xf numFmtId="3" fontId="35" fillId="0" borderId="0" xfId="1" applyNumberFormat="1" applyFont="1" applyFill="1" applyAlignment="1">
      <alignment horizontal="left" indent="4"/>
    </xf>
    <xf numFmtId="0" fontId="34" fillId="0" borderId="0" xfId="0" applyFont="1" applyFill="1"/>
    <xf numFmtId="3" fontId="35" fillId="0" borderId="0" xfId="1" applyNumberFormat="1" applyFont="1" applyFill="1" applyAlignment="1">
      <alignment horizontal="left"/>
    </xf>
    <xf numFmtId="0" fontId="36" fillId="0" borderId="0" xfId="4"/>
    <xf numFmtId="0" fontId="31" fillId="33" borderId="0" xfId="1" applyFont="1" applyFill="1" applyBorder="1" applyAlignment="1">
      <alignment horizontal="center" vertical="center" wrapText="1"/>
    </xf>
    <xf numFmtId="0" fontId="31" fillId="33" borderId="11" xfId="1" applyFont="1" applyFill="1" applyBorder="1" applyAlignment="1">
      <alignment horizontal="center" vertical="center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1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3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zoomScale="80" zoomScaleNormal="80" workbookViewId="0"/>
  </sheetViews>
  <sheetFormatPr baseColWidth="10" defaultColWidth="11.42578125" defaultRowHeight="12.75"/>
  <cols>
    <col min="1" max="1" width="2.85546875" style="3" customWidth="1"/>
    <col min="2" max="2" width="18.140625" style="2" customWidth="1"/>
    <col min="3" max="3" width="14.140625" style="2" bestFit="1" customWidth="1"/>
    <col min="4" max="4" width="2.7109375" style="2" customWidth="1"/>
    <col min="5" max="5" width="15.28515625" style="2" bestFit="1" customWidth="1"/>
    <col min="6" max="6" width="15" style="2" bestFit="1" customWidth="1"/>
    <col min="7" max="8" width="12.7109375" style="2" customWidth="1"/>
    <col min="9" max="9" width="13.85546875" style="2" bestFit="1" customWidth="1"/>
    <col min="10" max="10" width="15.42578125" style="2" bestFit="1" customWidth="1"/>
    <col min="11" max="12" width="12.7109375" style="2" customWidth="1"/>
    <col min="13" max="16384" width="11.42578125" style="1"/>
  </cols>
  <sheetData>
    <row r="1" spans="1:12" ht="15">
      <c r="A1" s="42"/>
    </row>
    <row r="2" spans="1:12" s="36" customFormat="1" ht="15" customHeight="1">
      <c r="A2" s="40"/>
      <c r="B2" s="41" t="s">
        <v>43</v>
      </c>
      <c r="C2" s="37"/>
      <c r="D2" s="37"/>
      <c r="E2" s="38"/>
      <c r="F2" s="37"/>
      <c r="G2" s="37"/>
      <c r="H2" s="37"/>
      <c r="I2" s="37"/>
      <c r="J2" s="37"/>
      <c r="K2" s="37"/>
      <c r="L2" s="37"/>
    </row>
    <row r="3" spans="1:12" s="36" customFormat="1" ht="6" customHeight="1">
      <c r="A3" s="40"/>
      <c r="B3" s="39"/>
      <c r="C3" s="37"/>
      <c r="D3" s="37"/>
      <c r="E3" s="38"/>
      <c r="F3" s="37"/>
      <c r="G3" s="37"/>
      <c r="H3" s="37"/>
      <c r="I3" s="37"/>
      <c r="J3" s="37"/>
      <c r="K3" s="37"/>
      <c r="L3" s="37"/>
    </row>
    <row r="4" spans="1:12" s="35" customFormat="1" ht="15" customHeight="1">
      <c r="A4" s="3"/>
      <c r="B4" s="31" t="s">
        <v>42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35" customFormat="1" ht="15" customHeight="1">
      <c r="A5" s="3"/>
      <c r="B5" s="43" t="s">
        <v>40</v>
      </c>
      <c r="C5" s="43" t="s">
        <v>39</v>
      </c>
      <c r="D5" s="29"/>
      <c r="E5" s="44" t="s">
        <v>38</v>
      </c>
      <c r="F5" s="44"/>
      <c r="G5" s="44"/>
      <c r="H5" s="44"/>
      <c r="I5" s="44"/>
      <c r="J5" s="44"/>
      <c r="K5" s="44"/>
      <c r="L5" s="44"/>
    </row>
    <row r="6" spans="1:12" s="35" customFormat="1" ht="15" customHeight="1">
      <c r="A6" s="3"/>
      <c r="B6" s="43"/>
      <c r="C6" s="43"/>
      <c r="D6" s="29"/>
      <c r="E6" s="29" t="s">
        <v>37</v>
      </c>
      <c r="F6" s="29" t="s">
        <v>36</v>
      </c>
      <c r="G6" s="29" t="s">
        <v>35</v>
      </c>
      <c r="H6" s="29" t="s">
        <v>34</v>
      </c>
      <c r="I6" s="29" t="s">
        <v>33</v>
      </c>
      <c r="J6" s="29" t="s">
        <v>32</v>
      </c>
      <c r="K6" s="29" t="s">
        <v>31</v>
      </c>
      <c r="L6" s="29" t="s">
        <v>30</v>
      </c>
    </row>
    <row r="7" spans="1:12" ht="5.0999999999999996" customHeight="1">
      <c r="B7" s="28"/>
      <c r="C7" s="27"/>
      <c r="D7" s="27"/>
      <c r="E7" s="26"/>
      <c r="F7" s="26"/>
      <c r="G7" s="26"/>
      <c r="H7" s="26"/>
      <c r="I7" s="26"/>
      <c r="J7" s="26"/>
      <c r="K7" s="26"/>
      <c r="L7" s="26"/>
    </row>
    <row r="8" spans="1:12">
      <c r="B8" s="25" t="s">
        <v>29</v>
      </c>
      <c r="C8" s="23">
        <f>SUM(E8:L8)</f>
        <v>2540294</v>
      </c>
      <c r="D8" s="23"/>
      <c r="E8" s="23">
        <f t="shared" ref="E8:L8" si="0">SUM(E10:E28)</f>
        <v>744637</v>
      </c>
      <c r="F8" s="23">
        <f t="shared" si="0"/>
        <v>179265</v>
      </c>
      <c r="G8" s="23">
        <f t="shared" si="0"/>
        <v>85239</v>
      </c>
      <c r="H8" s="23">
        <f t="shared" si="0"/>
        <v>19506</v>
      </c>
      <c r="I8" s="23">
        <f t="shared" si="0"/>
        <v>5471</v>
      </c>
      <c r="J8" s="23">
        <f t="shared" si="0"/>
        <v>12313</v>
      </c>
      <c r="K8" s="23">
        <f t="shared" si="0"/>
        <v>836546</v>
      </c>
      <c r="L8" s="23">
        <f t="shared" si="0"/>
        <v>657317</v>
      </c>
    </row>
    <row r="9" spans="1:12" ht="3.75" customHeight="1"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B10" s="22" t="s">
        <v>28</v>
      </c>
      <c r="C10" s="21">
        <f t="shared" ref="C10:C28" si="1">SUM(E10:L10)</f>
        <v>456126</v>
      </c>
      <c r="D10" s="21"/>
      <c r="E10" s="20">
        <v>173292</v>
      </c>
      <c r="F10" s="20">
        <v>50181</v>
      </c>
      <c r="G10" s="20">
        <v>14650</v>
      </c>
      <c r="H10" s="20">
        <v>3582</v>
      </c>
      <c r="I10" s="20">
        <v>1009</v>
      </c>
      <c r="J10" s="20">
        <v>2106</v>
      </c>
      <c r="K10" s="20">
        <v>69840</v>
      </c>
      <c r="L10" s="20">
        <v>141466</v>
      </c>
    </row>
    <row r="11" spans="1:12">
      <c r="B11" s="22" t="s">
        <v>27</v>
      </c>
      <c r="C11" s="21">
        <f t="shared" si="1"/>
        <v>42271</v>
      </c>
      <c r="D11" s="21"/>
      <c r="E11" s="20">
        <v>6938</v>
      </c>
      <c r="F11" s="20">
        <v>2154</v>
      </c>
      <c r="G11" s="20">
        <v>1317</v>
      </c>
      <c r="H11" s="20">
        <v>141</v>
      </c>
      <c r="I11" s="20">
        <v>82</v>
      </c>
      <c r="J11" s="20">
        <v>214</v>
      </c>
      <c r="K11" s="20">
        <v>22887</v>
      </c>
      <c r="L11" s="20">
        <v>8538</v>
      </c>
    </row>
    <row r="12" spans="1:12">
      <c r="B12" s="22" t="s">
        <v>26</v>
      </c>
      <c r="C12" s="21">
        <f t="shared" si="1"/>
        <v>63251</v>
      </c>
      <c r="D12" s="21"/>
      <c r="E12" s="20">
        <v>13783</v>
      </c>
      <c r="F12" s="20">
        <v>3858</v>
      </c>
      <c r="G12" s="20">
        <v>2790</v>
      </c>
      <c r="H12" s="20">
        <v>223</v>
      </c>
      <c r="I12" s="20">
        <v>87</v>
      </c>
      <c r="J12" s="20">
        <v>584</v>
      </c>
      <c r="K12" s="20">
        <v>22933</v>
      </c>
      <c r="L12" s="20">
        <v>18993</v>
      </c>
    </row>
    <row r="13" spans="1:12">
      <c r="B13" s="22" t="s">
        <v>25</v>
      </c>
      <c r="C13" s="21">
        <f t="shared" si="1"/>
        <v>66176</v>
      </c>
      <c r="D13" s="21"/>
      <c r="E13" s="20">
        <v>16470</v>
      </c>
      <c r="F13" s="20">
        <v>4652</v>
      </c>
      <c r="G13" s="20">
        <v>3072</v>
      </c>
      <c r="H13" s="20">
        <v>653</v>
      </c>
      <c r="I13" s="20">
        <v>161</v>
      </c>
      <c r="J13" s="20">
        <v>136</v>
      </c>
      <c r="K13" s="20">
        <v>28560</v>
      </c>
      <c r="L13" s="20">
        <v>12472</v>
      </c>
    </row>
    <row r="14" spans="1:12">
      <c r="B14" s="22" t="s">
        <v>24</v>
      </c>
      <c r="C14" s="21">
        <f t="shared" si="1"/>
        <v>61755</v>
      </c>
      <c r="D14" s="21"/>
      <c r="E14" s="20">
        <v>15409</v>
      </c>
      <c r="F14" s="20">
        <v>3253</v>
      </c>
      <c r="G14" s="20">
        <v>2214</v>
      </c>
      <c r="H14" s="20">
        <v>378</v>
      </c>
      <c r="I14" s="20">
        <v>116</v>
      </c>
      <c r="J14" s="20">
        <v>354</v>
      </c>
      <c r="K14" s="20">
        <v>26263</v>
      </c>
      <c r="L14" s="20">
        <v>13768</v>
      </c>
    </row>
    <row r="15" spans="1:12">
      <c r="B15" s="22" t="s">
        <v>23</v>
      </c>
      <c r="C15" s="21">
        <f t="shared" si="1"/>
        <v>139262</v>
      </c>
      <c r="D15" s="21"/>
      <c r="E15" s="20">
        <v>32775</v>
      </c>
      <c r="F15" s="20">
        <v>7265</v>
      </c>
      <c r="G15" s="20">
        <v>6431</v>
      </c>
      <c r="H15" s="20">
        <v>565</v>
      </c>
      <c r="I15" s="20">
        <v>478</v>
      </c>
      <c r="J15" s="20">
        <v>761</v>
      </c>
      <c r="K15" s="20">
        <v>54388</v>
      </c>
      <c r="L15" s="20">
        <v>36599</v>
      </c>
    </row>
    <row r="16" spans="1:12">
      <c r="B16" s="22" t="s">
        <v>22</v>
      </c>
      <c r="C16" s="21">
        <f t="shared" si="1"/>
        <v>28827</v>
      </c>
      <c r="D16" s="21"/>
      <c r="E16" s="20">
        <v>5422</v>
      </c>
      <c r="F16" s="20">
        <v>1487</v>
      </c>
      <c r="G16" s="20">
        <v>984</v>
      </c>
      <c r="H16" s="20">
        <v>75</v>
      </c>
      <c r="I16" s="20">
        <v>35</v>
      </c>
      <c r="J16" s="20">
        <v>117</v>
      </c>
      <c r="K16" s="20">
        <v>14419</v>
      </c>
      <c r="L16" s="20">
        <v>6288</v>
      </c>
    </row>
    <row r="17" spans="2:12">
      <c r="B17" s="22" t="s">
        <v>21</v>
      </c>
      <c r="C17" s="21">
        <f t="shared" si="1"/>
        <v>218286</v>
      </c>
      <c r="D17" s="21"/>
      <c r="E17" s="20">
        <v>47206</v>
      </c>
      <c r="F17" s="20">
        <v>14225</v>
      </c>
      <c r="G17" s="20">
        <v>8145</v>
      </c>
      <c r="H17" s="20">
        <v>1154</v>
      </c>
      <c r="I17" s="20">
        <v>586</v>
      </c>
      <c r="J17" s="20">
        <v>2394</v>
      </c>
      <c r="K17" s="20">
        <v>93857</v>
      </c>
      <c r="L17" s="20">
        <v>50719</v>
      </c>
    </row>
    <row r="18" spans="2:12">
      <c r="B18" s="22" t="s">
        <v>20</v>
      </c>
      <c r="C18" s="21">
        <f t="shared" si="1"/>
        <v>31748</v>
      </c>
      <c r="D18" s="21"/>
      <c r="E18" s="20">
        <v>8505</v>
      </c>
      <c r="F18" s="20">
        <v>1881</v>
      </c>
      <c r="G18" s="20">
        <v>843</v>
      </c>
      <c r="H18" s="20">
        <v>147</v>
      </c>
      <c r="I18" s="20">
        <v>41</v>
      </c>
      <c r="J18" s="20">
        <v>64</v>
      </c>
      <c r="K18" s="20">
        <v>13049</v>
      </c>
      <c r="L18" s="20">
        <v>7218</v>
      </c>
    </row>
    <row r="19" spans="2:12">
      <c r="B19" s="22" t="s">
        <v>19</v>
      </c>
      <c r="C19" s="21">
        <f t="shared" si="1"/>
        <v>51558</v>
      </c>
      <c r="D19" s="21"/>
      <c r="E19" s="20">
        <v>12338</v>
      </c>
      <c r="F19" s="20">
        <v>3258</v>
      </c>
      <c r="G19" s="20">
        <v>1523</v>
      </c>
      <c r="H19" s="20">
        <v>363</v>
      </c>
      <c r="I19" s="20">
        <v>50</v>
      </c>
      <c r="J19" s="20">
        <v>55</v>
      </c>
      <c r="K19" s="20">
        <v>24409</v>
      </c>
      <c r="L19" s="20">
        <v>9562</v>
      </c>
    </row>
    <row r="20" spans="2:12">
      <c r="B20" s="22" t="s">
        <v>18</v>
      </c>
      <c r="C20" s="21">
        <f t="shared" si="1"/>
        <v>422175</v>
      </c>
      <c r="D20" s="21"/>
      <c r="E20" s="20">
        <v>121164</v>
      </c>
      <c r="F20" s="20">
        <v>23456</v>
      </c>
      <c r="G20" s="20">
        <v>13642</v>
      </c>
      <c r="H20" s="20">
        <v>4666</v>
      </c>
      <c r="I20" s="20">
        <v>1154</v>
      </c>
      <c r="J20" s="20">
        <v>2177</v>
      </c>
      <c r="K20" s="20">
        <v>138416</v>
      </c>
      <c r="L20" s="20">
        <v>117500</v>
      </c>
    </row>
    <row r="21" spans="2:12">
      <c r="B21" s="22" t="s">
        <v>17</v>
      </c>
      <c r="C21" s="21">
        <f t="shared" si="1"/>
        <v>743870</v>
      </c>
      <c r="D21" s="21"/>
      <c r="E21" s="20">
        <v>253781</v>
      </c>
      <c r="F21" s="20">
        <v>49642</v>
      </c>
      <c r="G21" s="20">
        <v>23529</v>
      </c>
      <c r="H21" s="20">
        <v>6793</v>
      </c>
      <c r="I21" s="20">
        <v>1102</v>
      </c>
      <c r="J21" s="20">
        <v>716</v>
      </c>
      <c r="K21" s="20">
        <v>234072</v>
      </c>
      <c r="L21" s="20">
        <v>174235</v>
      </c>
    </row>
    <row r="22" spans="2:12">
      <c r="B22" s="22" t="s">
        <v>16</v>
      </c>
      <c r="C22" s="21">
        <f t="shared" si="1"/>
        <v>24448</v>
      </c>
      <c r="D22" s="21"/>
      <c r="E22" s="20">
        <v>3904</v>
      </c>
      <c r="F22" s="20">
        <v>1932</v>
      </c>
      <c r="G22" s="20">
        <v>595</v>
      </c>
      <c r="H22" s="20">
        <v>168</v>
      </c>
      <c r="I22" s="20">
        <v>43</v>
      </c>
      <c r="J22" s="20">
        <v>41</v>
      </c>
      <c r="K22" s="20">
        <v>13429</v>
      </c>
      <c r="L22" s="20">
        <v>4336</v>
      </c>
    </row>
    <row r="23" spans="2:12">
      <c r="B23" s="22" t="s">
        <v>15</v>
      </c>
      <c r="C23" s="21">
        <f t="shared" si="1"/>
        <v>62741</v>
      </c>
      <c r="D23" s="21"/>
      <c r="E23" s="20">
        <v>11050</v>
      </c>
      <c r="F23" s="20">
        <v>2932</v>
      </c>
      <c r="G23" s="20">
        <v>1647</v>
      </c>
      <c r="H23" s="20">
        <v>169</v>
      </c>
      <c r="I23" s="20">
        <v>113</v>
      </c>
      <c r="J23" s="20">
        <v>585</v>
      </c>
      <c r="K23" s="20">
        <v>32889</v>
      </c>
      <c r="L23" s="20">
        <v>13356</v>
      </c>
    </row>
    <row r="24" spans="2:12">
      <c r="B24" s="22" t="s">
        <v>14</v>
      </c>
      <c r="C24" s="21">
        <f t="shared" si="1"/>
        <v>51880</v>
      </c>
      <c r="D24" s="21"/>
      <c r="E24" s="20">
        <v>11139</v>
      </c>
      <c r="F24" s="20">
        <v>2761</v>
      </c>
      <c r="G24" s="20">
        <v>2331</v>
      </c>
      <c r="H24" s="20">
        <v>113</v>
      </c>
      <c r="I24" s="20">
        <v>207</v>
      </c>
      <c r="J24" s="20">
        <v>884</v>
      </c>
      <c r="K24" s="20">
        <v>15389</v>
      </c>
      <c r="L24" s="20">
        <v>19056</v>
      </c>
    </row>
    <row r="25" spans="2:12">
      <c r="B25" s="22" t="s">
        <v>13</v>
      </c>
      <c r="C25" s="21">
        <f t="shared" si="1"/>
        <v>23765</v>
      </c>
      <c r="D25" s="21"/>
      <c r="E25" s="20">
        <v>4608</v>
      </c>
      <c r="F25" s="20">
        <v>1747</v>
      </c>
      <c r="G25" s="20">
        <v>673</v>
      </c>
      <c r="H25" s="20">
        <v>186</v>
      </c>
      <c r="I25" s="20">
        <v>75</v>
      </c>
      <c r="J25" s="20">
        <v>419</v>
      </c>
      <c r="K25" s="20">
        <v>10208</v>
      </c>
      <c r="L25" s="20">
        <v>5849</v>
      </c>
    </row>
    <row r="26" spans="2:12">
      <c r="B26" s="22" t="s">
        <v>12</v>
      </c>
      <c r="C26" s="21">
        <f t="shared" si="1"/>
        <v>49318</v>
      </c>
      <c r="D26" s="21"/>
      <c r="E26" s="20">
        <v>6561</v>
      </c>
      <c r="F26" s="20">
        <v>4375</v>
      </c>
      <c r="G26" s="20">
        <v>781</v>
      </c>
      <c r="H26" s="20">
        <v>124</v>
      </c>
      <c r="I26" s="20">
        <v>129</v>
      </c>
      <c r="J26" s="20">
        <v>676</v>
      </c>
      <c r="K26" s="20">
        <v>20687</v>
      </c>
      <c r="L26" s="20">
        <v>15985</v>
      </c>
    </row>
    <row r="27" spans="2:12">
      <c r="B27" s="22" t="s">
        <v>11</v>
      </c>
      <c r="C27" s="21">
        <f t="shared" si="1"/>
        <v>1104</v>
      </c>
      <c r="D27" s="21"/>
      <c r="E27" s="20">
        <v>57</v>
      </c>
      <c r="F27" s="20">
        <v>113</v>
      </c>
      <c r="G27" s="20">
        <v>37</v>
      </c>
      <c r="H27" s="34">
        <v>2</v>
      </c>
      <c r="I27" s="20">
        <v>2</v>
      </c>
      <c r="J27" s="20">
        <v>17</v>
      </c>
      <c r="K27" s="20">
        <v>392</v>
      </c>
      <c r="L27" s="20">
        <v>484</v>
      </c>
    </row>
    <row r="28" spans="2:12">
      <c r="B28" s="22" t="s">
        <v>10</v>
      </c>
      <c r="C28" s="21">
        <f t="shared" si="1"/>
        <v>1733</v>
      </c>
      <c r="D28" s="21"/>
      <c r="E28" s="20">
        <v>235</v>
      </c>
      <c r="F28" s="20">
        <v>93</v>
      </c>
      <c r="G28" s="20">
        <v>35</v>
      </c>
      <c r="H28" s="20">
        <v>4</v>
      </c>
      <c r="I28" s="20">
        <v>1</v>
      </c>
      <c r="J28" s="20">
        <v>13</v>
      </c>
      <c r="K28" s="20">
        <v>459</v>
      </c>
      <c r="L28" s="20">
        <v>893</v>
      </c>
    </row>
    <row r="29" spans="2:12" ht="3.75" customHeight="1">
      <c r="B29" s="33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4.1" customHeight="1">
      <c r="B30" s="32"/>
      <c r="C30" s="21"/>
      <c r="D30" s="21"/>
      <c r="E30" s="20"/>
      <c r="F30" s="20"/>
      <c r="G30" s="20"/>
      <c r="H30" s="20"/>
      <c r="I30" s="20"/>
      <c r="J30" s="20"/>
      <c r="K30" s="20"/>
      <c r="L30" s="20"/>
    </row>
    <row r="31" spans="2:12" ht="13.5" customHeight="1">
      <c r="B31" s="31" t="s">
        <v>41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4.1" customHeight="1">
      <c r="B32" s="43" t="s">
        <v>40</v>
      </c>
      <c r="C32" s="43" t="s">
        <v>39</v>
      </c>
      <c r="D32" s="29"/>
      <c r="E32" s="44" t="s">
        <v>38</v>
      </c>
      <c r="F32" s="44"/>
      <c r="G32" s="44"/>
      <c r="H32" s="44"/>
      <c r="I32" s="44"/>
      <c r="J32" s="44"/>
      <c r="K32" s="44"/>
      <c r="L32" s="44"/>
    </row>
    <row r="33" spans="2:12" ht="14.1" customHeight="1">
      <c r="B33" s="43"/>
      <c r="C33" s="43"/>
      <c r="D33" s="29"/>
      <c r="E33" s="29" t="s">
        <v>37</v>
      </c>
      <c r="F33" s="29" t="s">
        <v>36</v>
      </c>
      <c r="G33" s="29" t="s">
        <v>35</v>
      </c>
      <c r="H33" s="29" t="s">
        <v>34</v>
      </c>
      <c r="I33" s="29" t="s">
        <v>33</v>
      </c>
      <c r="J33" s="29" t="s">
        <v>32</v>
      </c>
      <c r="K33" s="29" t="s">
        <v>31</v>
      </c>
      <c r="L33" s="29" t="s">
        <v>30</v>
      </c>
    </row>
    <row r="34" spans="2:12" ht="3.75" customHeight="1">
      <c r="B34" s="28"/>
      <c r="C34" s="27"/>
      <c r="D34" s="27"/>
      <c r="E34" s="26"/>
      <c r="F34" s="26"/>
      <c r="G34" s="26"/>
      <c r="H34" s="26"/>
      <c r="I34" s="26"/>
      <c r="J34" s="26"/>
      <c r="K34" s="26"/>
      <c r="L34" s="26"/>
    </row>
    <row r="35" spans="2:12">
      <c r="B35" s="25" t="s">
        <v>29</v>
      </c>
      <c r="C35" s="23">
        <f>SUM(E35:L35)</f>
        <v>2684358</v>
      </c>
      <c r="D35" s="23"/>
      <c r="E35" s="23">
        <f t="shared" ref="E35:L35" si="2">SUM(E37:E55)</f>
        <v>783466</v>
      </c>
      <c r="F35" s="23">
        <f t="shared" si="2"/>
        <v>179271</v>
      </c>
      <c r="G35" s="23">
        <f t="shared" si="2"/>
        <v>85331</v>
      </c>
      <c r="H35" s="23">
        <f t="shared" si="2"/>
        <v>19585</v>
      </c>
      <c r="I35" s="23">
        <f t="shared" si="2"/>
        <v>5489</v>
      </c>
      <c r="J35" s="23">
        <f t="shared" si="2"/>
        <v>12312</v>
      </c>
      <c r="K35" s="23">
        <f t="shared" si="2"/>
        <v>877613</v>
      </c>
      <c r="L35" s="23">
        <f t="shared" si="2"/>
        <v>721291</v>
      </c>
    </row>
    <row r="36" spans="2:12" ht="3.75" customHeight="1"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>
      <c r="B37" s="22" t="s">
        <v>28</v>
      </c>
      <c r="C37" s="21">
        <f t="shared" ref="C37:C55" si="3">SUM(E37:L37)</f>
        <v>472453</v>
      </c>
      <c r="D37" s="21"/>
      <c r="E37" s="20">
        <v>177304</v>
      </c>
      <c r="F37" s="20">
        <v>49711</v>
      </c>
      <c r="G37" s="20">
        <v>14544</v>
      </c>
      <c r="H37" s="20">
        <f>1885+1711</f>
        <v>3596</v>
      </c>
      <c r="I37" s="20">
        <f>470+531</f>
        <v>1001</v>
      </c>
      <c r="J37" s="20">
        <f>34+2064</f>
        <v>2098</v>
      </c>
      <c r="K37" s="20">
        <v>73082</v>
      </c>
      <c r="L37" s="20">
        <f>150731+386</f>
        <v>151117</v>
      </c>
    </row>
    <row r="38" spans="2:12">
      <c r="B38" s="22" t="s">
        <v>27</v>
      </c>
      <c r="C38" s="21">
        <f t="shared" si="3"/>
        <v>44739</v>
      </c>
      <c r="D38" s="21"/>
      <c r="E38" s="20">
        <v>7685</v>
      </c>
      <c r="F38" s="20">
        <v>2170</v>
      </c>
      <c r="G38" s="20">
        <v>1326</v>
      </c>
      <c r="H38" s="20">
        <f>91+50</f>
        <v>141</v>
      </c>
      <c r="I38" s="20">
        <f>32+49</f>
        <v>81</v>
      </c>
      <c r="J38" s="20">
        <v>212</v>
      </c>
      <c r="K38" s="20">
        <v>23493</v>
      </c>
      <c r="L38" s="20">
        <f>45+9586</f>
        <v>9631</v>
      </c>
    </row>
    <row r="39" spans="2:12">
      <c r="B39" s="22" t="s">
        <v>26</v>
      </c>
      <c r="C39" s="21">
        <f t="shared" si="3"/>
        <v>68776</v>
      </c>
      <c r="D39" s="21"/>
      <c r="E39" s="20">
        <v>15438</v>
      </c>
      <c r="F39" s="20">
        <v>3909</v>
      </c>
      <c r="G39" s="20">
        <v>2818</v>
      </c>
      <c r="H39" s="20">
        <f>118+111</f>
        <v>229</v>
      </c>
      <c r="I39" s="20">
        <f>48+45</f>
        <v>93</v>
      </c>
      <c r="J39" s="20">
        <v>585</v>
      </c>
      <c r="K39" s="20">
        <v>24079</v>
      </c>
      <c r="L39" s="20">
        <f>21610+15</f>
        <v>21625</v>
      </c>
    </row>
    <row r="40" spans="2:12">
      <c r="B40" s="22" t="s">
        <v>25</v>
      </c>
      <c r="C40" s="21">
        <f t="shared" si="3"/>
        <v>70935</v>
      </c>
      <c r="D40" s="21"/>
      <c r="E40" s="20">
        <v>17577</v>
      </c>
      <c r="F40" s="20">
        <v>4677</v>
      </c>
      <c r="G40" s="20">
        <v>3074</v>
      </c>
      <c r="H40" s="20">
        <f>483+166</f>
        <v>649</v>
      </c>
      <c r="I40" s="20">
        <f>124+42</f>
        <v>166</v>
      </c>
      <c r="J40" s="20">
        <v>135</v>
      </c>
      <c r="K40" s="20">
        <v>30494</v>
      </c>
      <c r="L40" s="20">
        <f>14135+28</f>
        <v>14163</v>
      </c>
    </row>
    <row r="41" spans="2:12">
      <c r="B41" s="22" t="s">
        <v>24</v>
      </c>
      <c r="C41" s="21">
        <f t="shared" si="3"/>
        <v>65889</v>
      </c>
      <c r="D41" s="21"/>
      <c r="E41" s="20">
        <v>16458</v>
      </c>
      <c r="F41" s="20">
        <v>3272</v>
      </c>
      <c r="G41" s="20">
        <v>2217</v>
      </c>
      <c r="H41" s="20">
        <f>173+205</f>
        <v>378</v>
      </c>
      <c r="I41" s="20">
        <f>82+35</f>
        <v>117</v>
      </c>
      <c r="J41" s="20">
        <v>356</v>
      </c>
      <c r="K41" s="20">
        <v>27666</v>
      </c>
      <c r="L41" s="20">
        <f>15376+49</f>
        <v>15425</v>
      </c>
    </row>
    <row r="42" spans="2:12">
      <c r="B42" s="22" t="s">
        <v>23</v>
      </c>
      <c r="C42" s="21">
        <f t="shared" si="3"/>
        <v>148981</v>
      </c>
      <c r="D42" s="21"/>
      <c r="E42" s="20">
        <v>35681</v>
      </c>
      <c r="F42" s="20">
        <v>7304</v>
      </c>
      <c r="G42" s="20">
        <v>6472</v>
      </c>
      <c r="H42" s="20">
        <f>233+335</f>
        <v>568</v>
      </c>
      <c r="I42" s="20">
        <f>224+259</f>
        <v>483</v>
      </c>
      <c r="J42" s="20">
        <v>761</v>
      </c>
      <c r="K42" s="20">
        <v>56925</v>
      </c>
      <c r="L42" s="20">
        <f>40742+45</f>
        <v>40787</v>
      </c>
    </row>
    <row r="43" spans="2:12">
      <c r="B43" s="22" t="s">
        <v>22</v>
      </c>
      <c r="C43" s="21">
        <f t="shared" si="3"/>
        <v>30951</v>
      </c>
      <c r="D43" s="21"/>
      <c r="E43" s="20">
        <v>6062</v>
      </c>
      <c r="F43" s="20">
        <v>1513</v>
      </c>
      <c r="G43" s="20">
        <v>991</v>
      </c>
      <c r="H43" s="20">
        <f>18+56</f>
        <v>74</v>
      </c>
      <c r="I43" s="20">
        <f>28+6</f>
        <v>34</v>
      </c>
      <c r="J43" s="20">
        <v>119</v>
      </c>
      <c r="K43" s="20">
        <v>15095</v>
      </c>
      <c r="L43" s="20">
        <f>7059+4</f>
        <v>7063</v>
      </c>
    </row>
    <row r="44" spans="2:12">
      <c r="B44" s="22" t="s">
        <v>21</v>
      </c>
      <c r="C44" s="21">
        <f t="shared" si="3"/>
        <v>227575</v>
      </c>
      <c r="D44" s="21"/>
      <c r="E44" s="20">
        <v>49159</v>
      </c>
      <c r="F44" s="20">
        <v>14255</v>
      </c>
      <c r="G44" s="20">
        <v>8177</v>
      </c>
      <c r="H44" s="20">
        <f>440+714</f>
        <v>1154</v>
      </c>
      <c r="I44" s="20">
        <f>352+235</f>
        <v>587</v>
      </c>
      <c r="J44" s="20">
        <f>2+2389</f>
        <v>2391</v>
      </c>
      <c r="K44" s="20">
        <v>95994</v>
      </c>
      <c r="L44" s="20">
        <f>55795+63</f>
        <v>55858</v>
      </c>
    </row>
    <row r="45" spans="2:12">
      <c r="B45" s="22" t="s">
        <v>20</v>
      </c>
      <c r="C45" s="21">
        <f t="shared" si="3"/>
        <v>33818</v>
      </c>
      <c r="D45" s="21"/>
      <c r="E45" s="20">
        <v>9119</v>
      </c>
      <c r="F45" s="20">
        <v>1912</v>
      </c>
      <c r="G45" s="20">
        <v>847</v>
      </c>
      <c r="H45" s="20">
        <f>51+97</f>
        <v>148</v>
      </c>
      <c r="I45" s="20">
        <f>25+16</f>
        <v>41</v>
      </c>
      <c r="J45" s="20">
        <v>64</v>
      </c>
      <c r="K45" s="20">
        <v>13448</v>
      </c>
      <c r="L45" s="20">
        <f>8216+23</f>
        <v>8239</v>
      </c>
    </row>
    <row r="46" spans="2:12">
      <c r="B46" s="22" t="s">
        <v>19</v>
      </c>
      <c r="C46" s="21">
        <f t="shared" si="3"/>
        <v>54561</v>
      </c>
      <c r="D46" s="21"/>
      <c r="E46" s="20">
        <v>13186</v>
      </c>
      <c r="F46" s="20">
        <v>3282</v>
      </c>
      <c r="G46" s="20">
        <v>1528</v>
      </c>
      <c r="H46" s="20">
        <f>247+113</f>
        <v>360</v>
      </c>
      <c r="I46" s="20">
        <f>24+28</f>
        <v>52</v>
      </c>
      <c r="J46" s="20">
        <v>54</v>
      </c>
      <c r="K46" s="20">
        <v>25438</v>
      </c>
      <c r="L46" s="20">
        <f>10608+53</f>
        <v>10661</v>
      </c>
    </row>
    <row r="47" spans="2:12">
      <c r="B47" s="22" t="s">
        <v>18</v>
      </c>
      <c r="C47" s="21">
        <f t="shared" si="3"/>
        <v>444928</v>
      </c>
      <c r="D47" s="21"/>
      <c r="E47" s="20">
        <v>126854</v>
      </c>
      <c r="F47" s="20">
        <v>23422</v>
      </c>
      <c r="G47" s="20">
        <v>13631</v>
      </c>
      <c r="H47" s="20">
        <v>4675</v>
      </c>
      <c r="I47" s="20">
        <v>1151</v>
      </c>
      <c r="J47" s="20">
        <v>2164</v>
      </c>
      <c r="K47" s="20">
        <v>145322</v>
      </c>
      <c r="L47" s="20">
        <v>127709</v>
      </c>
    </row>
    <row r="48" spans="2:12">
      <c r="B48" s="22" t="s">
        <v>17</v>
      </c>
      <c r="C48" s="21">
        <f t="shared" si="3"/>
        <v>792175</v>
      </c>
      <c r="D48" s="21"/>
      <c r="E48" s="20">
        <v>268809</v>
      </c>
      <c r="F48" s="20">
        <v>49906</v>
      </c>
      <c r="G48" s="20">
        <v>23578</v>
      </c>
      <c r="H48" s="20">
        <f>4840+2005</f>
        <v>6845</v>
      </c>
      <c r="I48" s="20">
        <f>579+527</f>
        <v>1106</v>
      </c>
      <c r="J48" s="20">
        <f>7+721</f>
        <v>728</v>
      </c>
      <c r="K48" s="20">
        <v>247806</v>
      </c>
      <c r="L48" s="20">
        <f>192932+465</f>
        <v>193397</v>
      </c>
    </row>
    <row r="49" spans="1:12">
      <c r="B49" s="22" t="s">
        <v>16</v>
      </c>
      <c r="C49" s="21">
        <f t="shared" si="3"/>
        <v>25336</v>
      </c>
      <c r="D49" s="21"/>
      <c r="E49" s="20">
        <v>4140</v>
      </c>
      <c r="F49" s="20">
        <v>1939</v>
      </c>
      <c r="G49" s="20">
        <v>588</v>
      </c>
      <c r="H49" s="20">
        <f>102+65</f>
        <v>167</v>
      </c>
      <c r="I49" s="20">
        <f>28+16</f>
        <v>44</v>
      </c>
      <c r="J49" s="20">
        <v>42</v>
      </c>
      <c r="K49" s="20">
        <v>13692</v>
      </c>
      <c r="L49" s="20">
        <f>4624+100</f>
        <v>4724</v>
      </c>
    </row>
    <row r="50" spans="1:12">
      <c r="B50" s="22" t="s">
        <v>15</v>
      </c>
      <c r="C50" s="21">
        <f t="shared" si="3"/>
        <v>66098</v>
      </c>
      <c r="D50" s="21"/>
      <c r="E50" s="20">
        <v>11622</v>
      </c>
      <c r="F50" s="20">
        <v>2941</v>
      </c>
      <c r="G50" s="20">
        <v>1663</v>
      </c>
      <c r="H50" s="20">
        <f>92+77</f>
        <v>169</v>
      </c>
      <c r="I50" s="20">
        <f>50+64</f>
        <v>114</v>
      </c>
      <c r="J50" s="20">
        <v>580</v>
      </c>
      <c r="K50" s="20">
        <v>34395</v>
      </c>
      <c r="L50" s="20">
        <f>14603+11</f>
        <v>14614</v>
      </c>
    </row>
    <row r="51" spans="1:12">
      <c r="B51" s="22" t="s">
        <v>14</v>
      </c>
      <c r="C51" s="21">
        <f t="shared" si="3"/>
        <v>55841</v>
      </c>
      <c r="D51" s="21"/>
      <c r="E51" s="20">
        <v>12051</v>
      </c>
      <c r="F51" s="20">
        <v>2777</v>
      </c>
      <c r="G51" s="20">
        <v>2344</v>
      </c>
      <c r="H51" s="20">
        <f>31+81</f>
        <v>112</v>
      </c>
      <c r="I51" s="20">
        <f>133+75</f>
        <v>208</v>
      </c>
      <c r="J51" s="20">
        <f>27+856</f>
        <v>883</v>
      </c>
      <c r="K51" s="20">
        <v>16498</v>
      </c>
      <c r="L51" s="20">
        <f>20959+9</f>
        <v>20968</v>
      </c>
    </row>
    <row r="52" spans="1:12">
      <c r="B52" s="22" t="s">
        <v>13</v>
      </c>
      <c r="C52" s="21">
        <f t="shared" si="3"/>
        <v>25809</v>
      </c>
      <c r="D52" s="21"/>
      <c r="E52" s="20">
        <v>5036</v>
      </c>
      <c r="F52" s="20">
        <v>1743</v>
      </c>
      <c r="G52" s="20">
        <v>671</v>
      </c>
      <c r="H52" s="20">
        <f>132+58</f>
        <v>190</v>
      </c>
      <c r="I52" s="20">
        <f>15+60</f>
        <v>75</v>
      </c>
      <c r="J52" s="20">
        <v>420</v>
      </c>
      <c r="K52" s="20">
        <v>11084</v>
      </c>
      <c r="L52" s="20">
        <f>6561+29</f>
        <v>6590</v>
      </c>
    </row>
    <row r="53" spans="1:12">
      <c r="B53" s="22" t="s">
        <v>12</v>
      </c>
      <c r="C53" s="21">
        <f t="shared" si="3"/>
        <v>52473</v>
      </c>
      <c r="D53" s="21"/>
      <c r="E53" s="20">
        <v>6972</v>
      </c>
      <c r="F53" s="20">
        <v>4333</v>
      </c>
      <c r="G53" s="20">
        <v>788</v>
      </c>
      <c r="H53" s="20">
        <f>32+92</f>
        <v>124</v>
      </c>
      <c r="I53" s="20">
        <f>17+116</f>
        <v>133</v>
      </c>
      <c r="J53" s="20">
        <f>1+686</f>
        <v>687</v>
      </c>
      <c r="K53" s="20">
        <v>22200</v>
      </c>
      <c r="L53" s="20">
        <f>17228+8</f>
        <v>17236</v>
      </c>
    </row>
    <row r="54" spans="1:12">
      <c r="B54" s="22" t="s">
        <v>11</v>
      </c>
      <c r="C54" s="21">
        <f t="shared" si="3"/>
        <v>1217</v>
      </c>
      <c r="D54" s="21"/>
      <c r="E54" s="20">
        <v>65</v>
      </c>
      <c r="F54" s="20">
        <v>115</v>
      </c>
      <c r="G54" s="20">
        <v>39</v>
      </c>
      <c r="H54" s="20">
        <v>2</v>
      </c>
      <c r="I54" s="20">
        <f>1+1</f>
        <v>2</v>
      </c>
      <c r="J54" s="20">
        <v>20</v>
      </c>
      <c r="K54" s="20">
        <v>433</v>
      </c>
      <c r="L54" s="20">
        <f>541+0</f>
        <v>541</v>
      </c>
    </row>
    <row r="55" spans="1:12">
      <c r="B55" s="22" t="s">
        <v>10</v>
      </c>
      <c r="C55" s="21">
        <f t="shared" si="3"/>
        <v>1803</v>
      </c>
      <c r="D55" s="21"/>
      <c r="E55" s="20">
        <v>248</v>
      </c>
      <c r="F55" s="20">
        <v>90</v>
      </c>
      <c r="G55" s="20">
        <v>35</v>
      </c>
      <c r="H55" s="20">
        <f>3+1</f>
        <v>4</v>
      </c>
      <c r="I55" s="20">
        <v>1</v>
      </c>
      <c r="J55" s="20">
        <v>13</v>
      </c>
      <c r="K55" s="20">
        <v>469</v>
      </c>
      <c r="L55" s="20">
        <v>943</v>
      </c>
    </row>
    <row r="56" spans="1:12" s="17" customFormat="1" ht="5.0999999999999996" customHeight="1">
      <c r="A56" s="3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15" customFormat="1" ht="5.0999999999999996" customHeight="1">
      <c r="A57" s="3"/>
      <c r="B57" s="16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s="8" customFormat="1">
      <c r="A58" s="3"/>
      <c r="B58" s="14" t="s">
        <v>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8" customFormat="1">
      <c r="A59" s="3"/>
      <c r="B59" s="14" t="s">
        <v>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8" customFormat="1">
      <c r="A60" s="3"/>
      <c r="B60" s="14" t="s">
        <v>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s="8" customFormat="1">
      <c r="A61" s="3"/>
      <c r="B61" s="14" t="s">
        <v>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s="8" customFormat="1">
      <c r="A62" s="3"/>
      <c r="B62" s="14" t="s">
        <v>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s="8" customFormat="1">
      <c r="A63" s="3"/>
      <c r="B63" s="10" t="s">
        <v>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s="8" customFormat="1">
      <c r="A64" s="3"/>
      <c r="B64" s="14" t="s">
        <v>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s="8" customFormat="1">
      <c r="A65" s="3"/>
      <c r="B65" s="11" t="s">
        <v>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12" customFormat="1">
      <c r="A66" s="3"/>
      <c r="B66" s="10" t="s">
        <v>1</v>
      </c>
      <c r="C66" s="13"/>
      <c r="D66" s="13"/>
      <c r="E66" s="13"/>
      <c r="F66" s="13"/>
      <c r="G66" s="13"/>
      <c r="H66" s="11"/>
      <c r="I66" s="11"/>
      <c r="J66" s="11"/>
      <c r="K66" s="11"/>
      <c r="L66" s="11"/>
    </row>
    <row r="67" spans="1:12" s="8" customFormat="1" ht="5.0999999999999996" customHeight="1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s="8" customFormat="1">
      <c r="A68" s="3"/>
      <c r="B68" s="10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79" spans="1:12">
      <c r="B79" s="7"/>
    </row>
    <row r="80" spans="1:12">
      <c r="B80" s="6"/>
    </row>
    <row r="81" spans="2:2">
      <c r="B81" s="5"/>
    </row>
    <row r="82" spans="2:2">
      <c r="B82" s="4"/>
    </row>
  </sheetData>
  <mergeCells count="6">
    <mergeCell ref="B5:B6"/>
    <mergeCell ref="C5:C6"/>
    <mergeCell ref="E5:L5"/>
    <mergeCell ref="B32:B33"/>
    <mergeCell ref="C32:C33"/>
    <mergeCell ref="E32:L32"/>
  </mergeCells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2023-01-27T14:49:30Z</dcterms:created>
  <dcterms:modified xsi:type="dcterms:W3CDTF">2023-05-09T14:33:01Z</dcterms:modified>
</cp:coreProperties>
</file>